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DINAMIK\"/>
    </mc:Choice>
  </mc:AlternateContent>
  <bookViews>
    <workbookView xWindow="360" yWindow="15" windowWidth="9720" windowHeight="6105" activeTab="2"/>
  </bookViews>
  <sheets>
    <sheet name="dinamik-golner" sheetId="2" r:id="rId1"/>
    <sheet name="динамик НБ" sheetId="3" r:id="rId2"/>
    <sheet name="borluulalt-yildverlelt" sheetId="5" r:id="rId3"/>
  </sheets>
  <calcPr calcId="152511"/>
</workbook>
</file>

<file path=xl/calcChain.xml><?xml version="1.0" encoding="utf-8"?>
<calcChain xmlns="http://schemas.openxmlformats.org/spreadsheetml/2006/main">
  <c r="AG12" i="5" l="1"/>
  <c r="AG8" i="5" l="1"/>
  <c r="K10" i="5" l="1"/>
  <c r="J10" i="5"/>
  <c r="I10" i="5"/>
  <c r="K9" i="5"/>
  <c r="J9" i="5"/>
  <c r="I9" i="5"/>
  <c r="G10" i="5"/>
  <c r="F10" i="5"/>
  <c r="E10" i="5"/>
  <c r="D10" i="5"/>
  <c r="B10" i="5"/>
  <c r="T10" i="5"/>
  <c r="S10" i="5"/>
  <c r="T9" i="5"/>
  <c r="S9" i="5"/>
  <c r="Q10" i="5"/>
  <c r="Q9" i="5"/>
  <c r="P10" i="5"/>
  <c r="P9" i="5"/>
  <c r="C10" i="5"/>
  <c r="R11" i="5"/>
  <c r="O9" i="5"/>
  <c r="O10" i="5"/>
  <c r="N9" i="5"/>
  <c r="M9" i="5"/>
  <c r="L9" i="5"/>
  <c r="N10" i="5"/>
  <c r="M10" i="5"/>
  <c r="L10" i="5"/>
  <c r="AC8" i="5" l="1"/>
  <c r="AB8" i="5"/>
  <c r="AA8" i="5"/>
  <c r="Z8" i="5"/>
  <c r="Y8" i="5"/>
  <c r="X8" i="5"/>
  <c r="W8" i="5"/>
  <c r="V8" i="5"/>
  <c r="AD8" i="5"/>
  <c r="V10" i="5"/>
  <c r="V9" i="5"/>
  <c r="BI6" i="3" l="1"/>
  <c r="BG6" i="3" s="1"/>
  <c r="CM94" i="3" l="1"/>
  <c r="CM83" i="3"/>
  <c r="CL83" i="3"/>
  <c r="CM82" i="3"/>
  <c r="CL82" i="3"/>
  <c r="DJ12" i="3"/>
  <c r="DJ13" i="3"/>
  <c r="DJ14" i="3"/>
  <c r="DJ18" i="3"/>
  <c r="DJ19" i="3"/>
  <c r="DJ20" i="3"/>
  <c r="DJ21" i="3"/>
  <c r="DJ22" i="3"/>
  <c r="DJ24" i="3"/>
  <c r="DJ26" i="3"/>
  <c r="DJ28" i="3"/>
  <c r="DJ29" i="3"/>
  <c r="DJ30" i="3"/>
  <c r="DJ32" i="3"/>
  <c r="DJ11" i="3"/>
  <c r="DJ9" i="3"/>
  <c r="CM23" i="3" l="1"/>
  <c r="CM17" i="3"/>
  <c r="CM16" i="3" l="1"/>
  <c r="CM84" i="3" l="1"/>
  <c r="CM33" i="3"/>
  <c r="CM85" i="3" l="1"/>
  <c r="CM41" i="3"/>
  <c r="DI32" i="3" l="1"/>
  <c r="DI30" i="3"/>
  <c r="DI29" i="3"/>
  <c r="DI28" i="3"/>
  <c r="DI26" i="3"/>
  <c r="DI24" i="3"/>
  <c r="DI22" i="3"/>
  <c r="DI21" i="3"/>
  <c r="DI20" i="3"/>
  <c r="DI19" i="3"/>
  <c r="DI18" i="3"/>
  <c r="DI14" i="3"/>
  <c r="DI13" i="3"/>
  <c r="DI12" i="3"/>
  <c r="DI11" i="3"/>
  <c r="DI9" i="3"/>
  <c r="CL17" i="3"/>
  <c r="DI17" i="3" s="1"/>
  <c r="CL23" i="3"/>
  <c r="DJ23" i="3" s="1"/>
  <c r="CL16" i="3" l="1"/>
  <c r="DJ17" i="3"/>
  <c r="DI23" i="3"/>
  <c r="DH9" i="3"/>
  <c r="CT200" i="3"/>
  <c r="CT207" i="3"/>
  <c r="CT202" i="3"/>
  <c r="CT204" i="3"/>
  <c r="CT201" i="3"/>
  <c r="CL33" i="3" l="1"/>
  <c r="CL84" i="3"/>
  <c r="DJ16" i="3"/>
  <c r="DI16" i="3"/>
  <c r="CT198" i="3"/>
  <c r="CT203" i="3"/>
  <c r="CT199" i="3"/>
  <c r="CT208" i="3" s="1"/>
  <c r="CT205" i="3"/>
  <c r="CL85" i="3" l="1"/>
  <c r="DJ33" i="3"/>
  <c r="DI33" i="3"/>
  <c r="AL120" i="3"/>
  <c r="AL112" i="3"/>
  <c r="AM118" i="3"/>
  <c r="AN118" i="3" s="1"/>
  <c r="AN120" i="3" s="1"/>
  <c r="AM120" i="3" l="1"/>
  <c r="BJ17" i="3"/>
  <c r="BJ24" i="3"/>
  <c r="BJ25" i="3"/>
  <c r="BJ26" i="3"/>
  <c r="BJ27" i="3"/>
  <c r="BJ30" i="3"/>
  <c r="BI30" i="3"/>
  <c r="BI7" i="3"/>
  <c r="BG7" i="3" s="1"/>
  <c r="BJ7" i="3" s="1"/>
  <c r="BI8" i="3"/>
  <c r="BG8" i="3" s="1"/>
  <c r="BJ8" i="3" s="1"/>
  <c r="BI9" i="3"/>
  <c r="BG9" i="3" s="1"/>
  <c r="BJ9" i="3" s="1"/>
  <c r="BI10" i="3"/>
  <c r="BG10" i="3" s="1"/>
  <c r="BJ10" i="3" s="1"/>
  <c r="BI11" i="3"/>
  <c r="BG11" i="3" s="1"/>
  <c r="BJ11" i="3" s="1"/>
  <c r="BI12" i="3"/>
  <c r="BG12" i="3" s="1"/>
  <c r="BJ12" i="3" s="1"/>
  <c r="BI13" i="3"/>
  <c r="BG13" i="3" s="1"/>
  <c r="BJ13" i="3" s="1"/>
  <c r="BI14" i="3"/>
  <c r="BG14" i="3" s="1"/>
  <c r="BJ14" i="3" s="1"/>
  <c r="BI15" i="3"/>
  <c r="BG15" i="3" s="1"/>
  <c r="BJ15" i="3" s="1"/>
  <c r="BI16" i="3"/>
  <c r="BG16" i="3" s="1"/>
  <c r="BJ16" i="3" s="1"/>
  <c r="BI17" i="3"/>
  <c r="BI18" i="3"/>
  <c r="BG18" i="3" s="1"/>
  <c r="BJ18" i="3" s="1"/>
  <c r="BI19" i="3"/>
  <c r="BG19" i="3" s="1"/>
  <c r="BJ19" i="3" s="1"/>
  <c r="BI20" i="3"/>
  <c r="BG20" i="3" s="1"/>
  <c r="BJ20" i="3" s="1"/>
  <c r="BI21" i="3"/>
  <c r="BG21" i="3" s="1"/>
  <c r="BJ21" i="3" s="1"/>
  <c r="BI22" i="3"/>
  <c r="BG22" i="3" s="1"/>
  <c r="BJ22" i="3" s="1"/>
  <c r="BI23" i="3"/>
  <c r="BG23" i="3" s="1"/>
  <c r="BJ23" i="3" s="1"/>
  <c r="BI24" i="3"/>
  <c r="BI25" i="3"/>
  <c r="BI26" i="3"/>
  <c r="BI27" i="3"/>
  <c r="BI29" i="3"/>
  <c r="BG29" i="3" s="1"/>
  <c r="BJ29" i="3" s="1"/>
  <c r="BJ6" i="3" l="1"/>
  <c r="BG33" i="3"/>
  <c r="CD295" i="3"/>
  <c r="CD296" i="3"/>
  <c r="CD297" i="3"/>
  <c r="CD294" i="3"/>
  <c r="CC294" i="3"/>
  <c r="DH14" i="3"/>
  <c r="DH16" i="3"/>
  <c r="DH18" i="3"/>
  <c r="DH19" i="3"/>
  <c r="DH20" i="3"/>
  <c r="DH21" i="3"/>
  <c r="DH22" i="3"/>
  <c r="DH24" i="3"/>
  <c r="DH26" i="3"/>
  <c r="DH28" i="3"/>
  <c r="DH29" i="3"/>
  <c r="DH30" i="3"/>
  <c r="DH32" i="3"/>
  <c r="DH11" i="3"/>
  <c r="DH12" i="3"/>
  <c r="DH13" i="3"/>
  <c r="DG11" i="3"/>
  <c r="CK94" i="3"/>
  <c r="CK93" i="3"/>
  <c r="CK92" i="3"/>
  <c r="CK91" i="3"/>
  <c r="CS202" i="3"/>
  <c r="CS207" i="3"/>
  <c r="CS203" i="3"/>
  <c r="CS200" i="3"/>
  <c r="CS205" i="3"/>
  <c r="CS204" i="3"/>
  <c r="CS201" i="3"/>
  <c r="CS199" i="3"/>
  <c r="CS198" i="3"/>
  <c r="CS208" i="3" l="1"/>
  <c r="BF28" i="3"/>
  <c r="BF31" i="3" l="1"/>
  <c r="BI28" i="3"/>
  <c r="BJ28" i="3"/>
  <c r="BI31" i="3"/>
  <c r="CC295" i="3"/>
  <c r="CC296" i="3"/>
  <c r="CB295" i="3"/>
  <c r="CB296" i="3"/>
  <c r="CB297" i="3"/>
  <c r="CA295" i="3"/>
  <c r="CA296" i="3"/>
  <c r="CA297" i="3"/>
  <c r="BZ295" i="3"/>
  <c r="BZ296" i="3"/>
  <c r="BZ297" i="3"/>
  <c r="BY295" i="3"/>
  <c r="BY296" i="3"/>
  <c r="BY297" i="3"/>
  <c r="BX295" i="3"/>
  <c r="BX296" i="3"/>
  <c r="BX297" i="3"/>
  <c r="BW295" i="3"/>
  <c r="BW296" i="3"/>
  <c r="BW297" i="3"/>
  <c r="BV295" i="3"/>
  <c r="BV296" i="3"/>
  <c r="BV297" i="3"/>
  <c r="BU295" i="3"/>
  <c r="BU296" i="3"/>
  <c r="BU297" i="3"/>
  <c r="BT295" i="3"/>
  <c r="BT296" i="3"/>
  <c r="BT297" i="3"/>
  <c r="BS297" i="3"/>
  <c r="BS295" i="3"/>
  <c r="BS296" i="3"/>
  <c r="BR296" i="3"/>
  <c r="BR295" i="3"/>
  <c r="CB294" i="3"/>
  <c r="CA294" i="3"/>
  <c r="BZ294" i="3"/>
  <c r="BY294" i="3"/>
  <c r="BX294" i="3"/>
  <c r="BW294" i="3"/>
  <c r="BV294" i="3"/>
  <c r="BU294" i="3"/>
  <c r="BT294" i="3"/>
  <c r="BS294" i="3"/>
  <c r="BR294" i="3"/>
  <c r="CJ93" i="3"/>
  <c r="CJ92" i="3"/>
  <c r="CJ90" i="3"/>
  <c r="CI90" i="3"/>
  <c r="BG31" i="3" l="1"/>
  <c r="CJ94" i="3"/>
  <c r="BG34" i="3"/>
  <c r="BJ31" i="3"/>
  <c r="DG12" i="3"/>
  <c r="DG14" i="3"/>
  <c r="DG15" i="3"/>
  <c r="DG18" i="3"/>
  <c r="DG19" i="3"/>
  <c r="DG20" i="3"/>
  <c r="DG21" i="3"/>
  <c r="DG22" i="3"/>
  <c r="DG24" i="3"/>
  <c r="DG26" i="3"/>
  <c r="DG28" i="3"/>
  <c r="DG29" i="3"/>
  <c r="DG30" i="3"/>
  <c r="DG32" i="3"/>
  <c r="CJ33" i="3"/>
  <c r="DH33" i="3" s="1"/>
  <c r="CJ23" i="3"/>
  <c r="DH23" i="3" s="1"/>
  <c r="CJ17" i="3"/>
  <c r="DH17" i="3" s="1"/>
  <c r="CR204" i="3"/>
  <c r="CR205" i="3"/>
  <c r="CR201" i="3"/>
  <c r="CR203" i="3"/>
  <c r="CR202" i="3"/>
  <c r="CR200" i="3"/>
  <c r="CR199" i="3"/>
  <c r="CR198" i="3"/>
  <c r="CI289" i="3"/>
  <c r="CC297" i="3" s="1"/>
  <c r="CI131" i="3"/>
  <c r="CI93" i="3"/>
  <c r="CI92" i="3"/>
  <c r="CH90" i="3"/>
  <c r="CI94" i="3" l="1"/>
  <c r="BB41" i="3"/>
  <c r="AK112" i="3"/>
  <c r="AK118" i="3" s="1"/>
  <c r="AK120" i="3" s="1"/>
  <c r="DF11" i="3"/>
  <c r="DF12" i="3"/>
  <c r="DF14" i="3"/>
  <c r="DF15" i="3"/>
  <c r="DF18" i="3"/>
  <c r="DF19" i="3"/>
  <c r="DF20" i="3"/>
  <c r="DF21" i="3"/>
  <c r="DF22" i="3"/>
  <c r="DF24" i="3"/>
  <c r="DF26" i="3"/>
  <c r="DF28" i="3"/>
  <c r="DF29" i="3"/>
  <c r="DF30" i="3"/>
  <c r="DF32" i="3"/>
  <c r="CI23" i="3"/>
  <c r="CI17" i="3"/>
  <c r="DG17" i="3" s="1"/>
  <c r="CI13" i="3"/>
  <c r="DG13" i="3" s="1"/>
  <c r="CI9" i="3"/>
  <c r="DG9" i="3" s="1"/>
  <c r="BD31" i="3"/>
  <c r="BD64" i="3" s="1"/>
  <c r="BC31" i="3"/>
  <c r="BC41" i="3" s="1"/>
  <c r="CH292" i="3"/>
  <c r="CH293" i="3"/>
  <c r="CH294" i="3"/>
  <c r="BR297" i="3"/>
  <c r="CH291" i="3"/>
  <c r="BW279" i="3"/>
  <c r="BW278" i="3"/>
  <c r="BW277" i="3"/>
  <c r="BU279" i="3"/>
  <c r="BR90" i="3"/>
  <c r="BD41" i="3" l="1"/>
  <c r="BC44" i="3"/>
  <c r="BC46" i="3"/>
  <c r="BC48" i="3"/>
  <c r="BC50" i="3"/>
  <c r="BC57" i="3"/>
  <c r="BC58" i="3"/>
  <c r="BC60" i="3"/>
  <c r="BC61" i="3"/>
  <c r="BC63" i="3"/>
  <c r="BC64" i="3"/>
  <c r="DG23" i="3"/>
  <c r="BD44" i="3"/>
  <c r="BD46" i="3"/>
  <c r="BD48" i="3"/>
  <c r="BD50" i="3"/>
  <c r="BD57" i="3"/>
  <c r="BD58" i="3"/>
  <c r="BD60" i="3"/>
  <c r="BD61" i="3"/>
  <c r="BD63" i="3"/>
  <c r="CI16" i="3"/>
  <c r="CR239" i="3"/>
  <c r="CQ239" i="3"/>
  <c r="CP239" i="3"/>
  <c r="CR208" i="3"/>
  <c r="CR220" i="3" s="1"/>
  <c r="BC66" i="3" l="1"/>
  <c r="CI33" i="3"/>
  <c r="DG16" i="3"/>
  <c r="BD66" i="3"/>
  <c r="CP208" i="3"/>
  <c r="CQ200" i="3"/>
  <c r="DG33" i="3" l="1"/>
  <c r="CP217" i="3"/>
  <c r="CP213" i="3"/>
  <c r="CP218" i="3"/>
  <c r="CP216" i="3"/>
  <c r="CQ208" i="3"/>
  <c r="CQ214" i="3" s="1"/>
  <c r="CP168" i="3"/>
  <c r="CP166" i="3"/>
  <c r="CP165" i="3"/>
  <c r="CP164" i="3"/>
  <c r="CP162" i="3"/>
  <c r="CP160" i="3"/>
  <c r="CP159" i="3"/>
  <c r="CP148" i="3"/>
  <c r="CP146" i="3"/>
  <c r="CP145" i="3"/>
  <c r="CP144" i="3"/>
  <c r="CP142" i="3"/>
  <c r="CP140" i="3"/>
  <c r="CP139" i="3"/>
  <c r="CP135" i="3"/>
  <c r="CP134" i="3"/>
  <c r="CP133" i="3"/>
  <c r="CP132" i="3"/>
  <c r="CP131" i="3"/>
  <c r="CP129" i="3"/>
  <c r="CP127" i="3"/>
  <c r="CP126" i="3"/>
  <c r="BR140" i="3"/>
  <c r="BR139" i="3"/>
  <c r="BR149" i="3" s="1"/>
  <c r="BS93" i="3"/>
  <c r="BT93" i="3"/>
  <c r="BU93" i="3"/>
  <c r="BV93" i="3"/>
  <c r="BW93" i="3"/>
  <c r="BX93" i="3"/>
  <c r="BY93" i="3"/>
  <c r="BZ93" i="3"/>
  <c r="CA93" i="3"/>
  <c r="CB93" i="3"/>
  <c r="CC93" i="3"/>
  <c r="CD93" i="3"/>
  <c r="CE93" i="3"/>
  <c r="CF93" i="3"/>
  <c r="CG93" i="3"/>
  <c r="CH93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CE92" i="3"/>
  <c r="CF92" i="3"/>
  <c r="CG92" i="3"/>
  <c r="CH92" i="3"/>
  <c r="CH94" i="3" s="1"/>
  <c r="BT90" i="3"/>
  <c r="BS90" i="3"/>
  <c r="BU90" i="3"/>
  <c r="BV90" i="3"/>
  <c r="BV94" i="3" s="1"/>
  <c r="BW90" i="3"/>
  <c r="BW94" i="3" s="1"/>
  <c r="BX90" i="3"/>
  <c r="BY90" i="3"/>
  <c r="BZ90" i="3"/>
  <c r="BZ94" i="3" s="1"/>
  <c r="CA90" i="3"/>
  <c r="CA94" i="3" s="1"/>
  <c r="CB90" i="3"/>
  <c r="CB94" i="3" s="1"/>
  <c r="CC90" i="3"/>
  <c r="CD90" i="3"/>
  <c r="CD94" i="3" s="1"/>
  <c r="CE90" i="3"/>
  <c r="CF90" i="3"/>
  <c r="CG90" i="3"/>
  <c r="BS94" i="3"/>
  <c r="BT94" i="3"/>
  <c r="BU94" i="3"/>
  <c r="BX94" i="3"/>
  <c r="BY94" i="3"/>
  <c r="CC94" i="3"/>
  <c r="CE94" i="3"/>
  <c r="CF94" i="3"/>
  <c r="CG94" i="3"/>
  <c r="BR93" i="3"/>
  <c r="BR92" i="3"/>
  <c r="DE11" i="3"/>
  <c r="DE12" i="3"/>
  <c r="DE14" i="3"/>
  <c r="DE15" i="3"/>
  <c r="DE18" i="3"/>
  <c r="DE19" i="3"/>
  <c r="DE20" i="3"/>
  <c r="DE21" i="3"/>
  <c r="DE22" i="3"/>
  <c r="DE24" i="3"/>
  <c r="DE26" i="3"/>
  <c r="DE28" i="3"/>
  <c r="DE29" i="3"/>
  <c r="DE30" i="3"/>
  <c r="DE32" i="3"/>
  <c r="DD10" i="3"/>
  <c r="DD11" i="3"/>
  <c r="DD12" i="3"/>
  <c r="DD14" i="3"/>
  <c r="DD15" i="3"/>
  <c r="DD18" i="3"/>
  <c r="DD19" i="3"/>
  <c r="DD20" i="3"/>
  <c r="DD21" i="3"/>
  <c r="DD22" i="3"/>
  <c r="DD24" i="3"/>
  <c r="DD26" i="3"/>
  <c r="DD28" i="3"/>
  <c r="DD29" i="3"/>
  <c r="DD30" i="3"/>
  <c r="DD32" i="3"/>
  <c r="DC10" i="3"/>
  <c r="DC11" i="3"/>
  <c r="DC12" i="3"/>
  <c r="DC14" i="3"/>
  <c r="DC15" i="3"/>
  <c r="DC18" i="3"/>
  <c r="DC19" i="3"/>
  <c r="DC20" i="3"/>
  <c r="DC21" i="3"/>
  <c r="DC22" i="3"/>
  <c r="DC24" i="3"/>
  <c r="DC26" i="3"/>
  <c r="DC28" i="3"/>
  <c r="DC29" i="3"/>
  <c r="DC30" i="3"/>
  <c r="DC32" i="3"/>
  <c r="DB10" i="3"/>
  <c r="DB11" i="3"/>
  <c r="DB12" i="3"/>
  <c r="DB14" i="3"/>
  <c r="DB15" i="3"/>
  <c r="DB18" i="3"/>
  <c r="DB19" i="3"/>
  <c r="DB20" i="3"/>
  <c r="DB21" i="3"/>
  <c r="DB22" i="3"/>
  <c r="DB24" i="3"/>
  <c r="DB26" i="3"/>
  <c r="DB28" i="3"/>
  <c r="DB29" i="3"/>
  <c r="DB30" i="3"/>
  <c r="DB32" i="3"/>
  <c r="DA10" i="3"/>
  <c r="DA11" i="3"/>
  <c r="DA12" i="3"/>
  <c r="DA14" i="3"/>
  <c r="DA15" i="3"/>
  <c r="DA19" i="3"/>
  <c r="DA20" i="3"/>
  <c r="DA21" i="3"/>
  <c r="DA22" i="3"/>
  <c r="DA26" i="3"/>
  <c r="DA28" i="3"/>
  <c r="DA30" i="3"/>
  <c r="CZ10" i="3"/>
  <c r="CZ11" i="3"/>
  <c r="CZ12" i="3"/>
  <c r="CZ14" i="3"/>
  <c r="CZ15" i="3"/>
  <c r="CZ19" i="3"/>
  <c r="CZ20" i="3"/>
  <c r="CZ21" i="3"/>
  <c r="CZ22" i="3"/>
  <c r="CZ26" i="3"/>
  <c r="CZ28" i="3"/>
  <c r="CZ30" i="3"/>
  <c r="CY10" i="3"/>
  <c r="CY11" i="3"/>
  <c r="CY12" i="3"/>
  <c r="CY14" i="3"/>
  <c r="CY15" i="3"/>
  <c r="CY19" i="3"/>
  <c r="CY20" i="3"/>
  <c r="CY21" i="3"/>
  <c r="CY22" i="3"/>
  <c r="CY26" i="3"/>
  <c r="CY28" i="3"/>
  <c r="CY30" i="3"/>
  <c r="CX10" i="3"/>
  <c r="CX11" i="3"/>
  <c r="CX12" i="3"/>
  <c r="CX14" i="3"/>
  <c r="CX15" i="3"/>
  <c r="CX19" i="3"/>
  <c r="CX20" i="3"/>
  <c r="CX21" i="3"/>
  <c r="CX22" i="3"/>
  <c r="CX26" i="3"/>
  <c r="CX28" i="3"/>
  <c r="CX30" i="3"/>
  <c r="CW10" i="3"/>
  <c r="CW11" i="3"/>
  <c r="CW12" i="3"/>
  <c r="CW14" i="3"/>
  <c r="CW15" i="3"/>
  <c r="CW20" i="3"/>
  <c r="CW21" i="3"/>
  <c r="CW22" i="3"/>
  <c r="CW26" i="3"/>
  <c r="CW28" i="3"/>
  <c r="CW30" i="3"/>
  <c r="CV10" i="3"/>
  <c r="CV11" i="3"/>
  <c r="CV12" i="3"/>
  <c r="CV14" i="3"/>
  <c r="CV15" i="3"/>
  <c r="CV20" i="3"/>
  <c r="CV21" i="3"/>
  <c r="CV22" i="3"/>
  <c r="CV26" i="3"/>
  <c r="CV30" i="3"/>
  <c r="CU10" i="3"/>
  <c r="CU11" i="3"/>
  <c r="CU14" i="3"/>
  <c r="CU20" i="3"/>
  <c r="CU21" i="3"/>
  <c r="CU22" i="3"/>
  <c r="CU26" i="3"/>
  <c r="CU28" i="3"/>
  <c r="CU31" i="3"/>
  <c r="CT10" i="3"/>
  <c r="CT14" i="3"/>
  <c r="CT20" i="3"/>
  <c r="CT21" i="3"/>
  <c r="CT22" i="3"/>
  <c r="CT26" i="3"/>
  <c r="CT28" i="3"/>
  <c r="CT29" i="3"/>
  <c r="CT31" i="3"/>
  <c r="CT32" i="3"/>
  <c r="CS10" i="3"/>
  <c r="CS14" i="3"/>
  <c r="CS20" i="3"/>
  <c r="CS21" i="3"/>
  <c r="CS22" i="3"/>
  <c r="CS26" i="3"/>
  <c r="CS28" i="3"/>
  <c r="CS29" i="3"/>
  <c r="CS31" i="3"/>
  <c r="CS32" i="3"/>
  <c r="CR10" i="3"/>
  <c r="CR14" i="3"/>
  <c r="CR20" i="3"/>
  <c r="CR21" i="3"/>
  <c r="CR22" i="3"/>
  <c r="CR26" i="3"/>
  <c r="CR28" i="3"/>
  <c r="CR29" i="3"/>
  <c r="CR31" i="3"/>
  <c r="CR32" i="3"/>
  <c r="CQ20" i="3"/>
  <c r="CQ21" i="3"/>
  <c r="CQ22" i="3"/>
  <c r="CQ26" i="3"/>
  <c r="CQ28" i="3"/>
  <c r="CQ32" i="3"/>
  <c r="CP20" i="3"/>
  <c r="CP22" i="3"/>
  <c r="CP26" i="3"/>
  <c r="CP28" i="3"/>
  <c r="CA29" i="3"/>
  <c r="CX29" i="3" s="1"/>
  <c r="BS29" i="3"/>
  <c r="CQ29" i="3" s="1"/>
  <c r="BW24" i="3"/>
  <c r="BV24" i="3"/>
  <c r="CS24" i="3" s="1"/>
  <c r="BU24" i="3"/>
  <c r="BT24" i="3"/>
  <c r="BS24" i="3"/>
  <c r="BR24" i="3"/>
  <c r="CC29" i="3"/>
  <c r="DA29" i="3" s="1"/>
  <c r="CC24" i="3"/>
  <c r="DA24" i="3" s="1"/>
  <c r="CA24" i="3"/>
  <c r="CY24" i="3" s="1"/>
  <c r="BZ24" i="3"/>
  <c r="BX29" i="3"/>
  <c r="CV29" i="3" s="1"/>
  <c r="BX24" i="3"/>
  <c r="CV24" i="3" s="1"/>
  <c r="CC32" i="3"/>
  <c r="DA32" i="3" s="1"/>
  <c r="CB29" i="3"/>
  <c r="CY29" i="3" s="1"/>
  <c r="CA32" i="3"/>
  <c r="BZ32" i="3"/>
  <c r="BY32" i="3"/>
  <c r="BX32" i="3"/>
  <c r="CU32" i="3" s="1"/>
  <c r="CB32" i="3"/>
  <c r="CY32" i="3" s="1"/>
  <c r="CE17" i="3"/>
  <c r="CF17" i="3"/>
  <c r="CG17" i="3"/>
  <c r="CH17" i="3"/>
  <c r="DF17" i="3" s="1"/>
  <c r="CD17" i="3"/>
  <c r="CQ24" i="3" l="1"/>
  <c r="DC17" i="3"/>
  <c r="DD17" i="3"/>
  <c r="CP169" i="3"/>
  <c r="CP136" i="3"/>
  <c r="CV32" i="3"/>
  <c r="CX32" i="3"/>
  <c r="CP24" i="3"/>
  <c r="CR24" i="3"/>
  <c r="CT24" i="3"/>
  <c r="BR94" i="3"/>
  <c r="DB17" i="3"/>
  <c r="CW32" i="3"/>
  <c r="CP149" i="3"/>
  <c r="CP29" i="3"/>
  <c r="CU29" i="3"/>
  <c r="CZ32" i="3"/>
  <c r="CZ29" i="3"/>
  <c r="CP223" i="3"/>
  <c r="CQ221" i="3"/>
  <c r="CQ219" i="3"/>
  <c r="CQ217" i="3"/>
  <c r="CQ215" i="3"/>
  <c r="CQ213" i="3"/>
  <c r="CQ220" i="3"/>
  <c r="CQ218" i="3"/>
  <c r="CQ216" i="3"/>
  <c r="CQ212" i="3"/>
  <c r="CQ223" i="3" s="1"/>
  <c r="CU24" i="3"/>
  <c r="CX24" i="3"/>
  <c r="CZ24" i="3"/>
  <c r="DE17" i="3"/>
  <c r="BT23" i="3"/>
  <c r="BU23" i="3"/>
  <c r="BV23" i="3"/>
  <c r="BW23" i="3"/>
  <c r="CU23" i="3" s="1"/>
  <c r="BX23" i="3"/>
  <c r="BY23" i="3"/>
  <c r="BZ23" i="3"/>
  <c r="CA23" i="3"/>
  <c r="CX23" i="3" s="1"/>
  <c r="CB23" i="3"/>
  <c r="CC23" i="3"/>
  <c r="CD23" i="3"/>
  <c r="CD16" i="3" s="1"/>
  <c r="CE23" i="3"/>
  <c r="CF23" i="3"/>
  <c r="CG23" i="3"/>
  <c r="CH23" i="3"/>
  <c r="BR23" i="3"/>
  <c r="BS23" i="3"/>
  <c r="BS17" i="3"/>
  <c r="BT17" i="3"/>
  <c r="BU17" i="3"/>
  <c r="CR17" i="3" s="1"/>
  <c r="BV17" i="3"/>
  <c r="BW17" i="3"/>
  <c r="BX17" i="3"/>
  <c r="BX16" i="3" s="1"/>
  <c r="BY17" i="3"/>
  <c r="CV17" i="3" s="1"/>
  <c r="BZ17" i="3"/>
  <c r="CA17" i="3"/>
  <c r="CB17" i="3"/>
  <c r="CB16" i="3" s="1"/>
  <c r="CC17" i="3"/>
  <c r="CZ17" i="3" s="1"/>
  <c r="BV16" i="3"/>
  <c r="BW16" i="3"/>
  <c r="BZ16" i="3"/>
  <c r="CA16" i="3"/>
  <c r="CX16" i="3" s="1"/>
  <c r="CF16" i="3"/>
  <c r="BS13" i="3"/>
  <c r="BT13" i="3"/>
  <c r="BU13" i="3"/>
  <c r="BV13" i="3"/>
  <c r="BW13" i="3"/>
  <c r="CT13" i="3" s="1"/>
  <c r="BX13" i="3"/>
  <c r="BY13" i="3"/>
  <c r="CV13" i="3" s="1"/>
  <c r="BZ13" i="3"/>
  <c r="CA13" i="3"/>
  <c r="CX13" i="3" s="1"/>
  <c r="CB13" i="3"/>
  <c r="CC13" i="3"/>
  <c r="CZ13" i="3" s="1"/>
  <c r="CD13" i="3"/>
  <c r="CE13" i="3"/>
  <c r="DB13" i="3" s="1"/>
  <c r="CF13" i="3"/>
  <c r="CG13" i="3"/>
  <c r="DD13" i="3" s="1"/>
  <c r="CH13" i="3"/>
  <c r="BS9" i="3"/>
  <c r="BT9" i="3"/>
  <c r="BU9" i="3"/>
  <c r="CR9" i="3" s="1"/>
  <c r="BV9" i="3"/>
  <c r="BW9" i="3"/>
  <c r="CT9" i="3" s="1"/>
  <c r="BX9" i="3"/>
  <c r="BY9" i="3"/>
  <c r="CV9" i="3" s="1"/>
  <c r="BZ9" i="3"/>
  <c r="CA9" i="3"/>
  <c r="CX9" i="3" s="1"/>
  <c r="CB9" i="3"/>
  <c r="CC9" i="3"/>
  <c r="CZ9" i="3" s="1"/>
  <c r="CD9" i="3"/>
  <c r="CE9" i="3"/>
  <c r="DB9" i="3" s="1"/>
  <c r="CF9" i="3"/>
  <c r="CG9" i="3"/>
  <c r="CH9" i="3"/>
  <c r="DF9" i="3" s="1"/>
  <c r="BR17" i="3"/>
  <c r="BR13" i="3"/>
  <c r="BR9" i="3"/>
  <c r="BC36" i="3"/>
  <c r="CR13" i="3" l="1"/>
  <c r="CC16" i="3"/>
  <c r="CZ16" i="3" s="1"/>
  <c r="BY16" i="3"/>
  <c r="CV16" i="3" s="1"/>
  <c r="BU16" i="3"/>
  <c r="BU33" i="3" s="1"/>
  <c r="CX17" i="3"/>
  <c r="CT17" i="3"/>
  <c r="CZ23" i="3"/>
  <c r="CV23" i="3"/>
  <c r="CU16" i="3"/>
  <c r="CG16" i="3"/>
  <c r="DD16" i="3" s="1"/>
  <c r="DD23" i="3"/>
  <c r="CE16" i="3"/>
  <c r="DB16" i="3" s="1"/>
  <c r="DB23" i="3"/>
  <c r="CP17" i="3"/>
  <c r="DA17" i="3"/>
  <c r="DF13" i="3"/>
  <c r="DE13" i="3"/>
  <c r="CH16" i="3"/>
  <c r="CH33" i="3" s="1"/>
  <c r="DF33" i="3" s="1"/>
  <c r="DF23" i="3"/>
  <c r="DE23" i="3"/>
  <c r="DC9" i="3"/>
  <c r="DA9" i="3"/>
  <c r="CY9" i="3"/>
  <c r="CW9" i="3"/>
  <c r="CU9" i="3"/>
  <c r="CS9" i="3"/>
  <c r="DC13" i="3"/>
  <c r="DA13" i="3"/>
  <c r="CY13" i="3"/>
  <c r="CW13" i="3"/>
  <c r="CU13" i="3"/>
  <c r="CS13" i="3"/>
  <c r="CY16" i="3"/>
  <c r="CW16" i="3"/>
  <c r="DA16" i="3"/>
  <c r="CY17" i="3"/>
  <c r="CW17" i="3"/>
  <c r="CU17" i="3"/>
  <c r="CS17" i="3"/>
  <c r="CQ17" i="3"/>
  <c r="CP23" i="3"/>
  <c r="DC23" i="3"/>
  <c r="DA23" i="3"/>
  <c r="CY23" i="3"/>
  <c r="CW23" i="3"/>
  <c r="CQ23" i="3"/>
  <c r="DE9" i="3"/>
  <c r="DD9" i="3"/>
  <c r="CT16" i="3"/>
  <c r="CT23" i="3"/>
  <c r="CS16" i="3"/>
  <c r="CS23" i="3"/>
  <c r="CR23" i="3"/>
  <c r="BS16" i="3"/>
  <c r="BT16" i="3"/>
  <c r="CF33" i="3"/>
  <c r="DC33" i="3" s="1"/>
  <c r="CE33" i="3"/>
  <c r="CD33" i="3"/>
  <c r="CB33" i="3"/>
  <c r="CA33" i="3"/>
  <c r="BZ33" i="3"/>
  <c r="BX33" i="3"/>
  <c r="BW33" i="3"/>
  <c r="BV33" i="3"/>
  <c r="BR16" i="3"/>
  <c r="BR33" i="3" s="1"/>
  <c r="AJ112" i="3"/>
  <c r="AI112" i="3"/>
  <c r="AH112" i="3"/>
  <c r="BB64" i="3"/>
  <c r="BB63" i="3"/>
  <c r="BB61" i="3"/>
  <c r="BB60" i="3"/>
  <c r="BB58" i="3"/>
  <c r="BB57" i="3"/>
  <c r="BB50" i="3"/>
  <c r="BB48" i="3"/>
  <c r="BB46" i="3"/>
  <c r="BB44" i="3"/>
  <c r="BB66" i="3" s="1"/>
  <c r="BB36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14" i="3"/>
  <c r="Q13" i="3"/>
  <c r="R12" i="3"/>
  <c r="Q12" i="3"/>
  <c r="Q11" i="3"/>
  <c r="Q9" i="3"/>
  <c r="Q8" i="3"/>
  <c r="Q7" i="3"/>
  <c r="AB43" i="3"/>
  <c r="AC43" i="3"/>
  <c r="AD43" i="3"/>
  <c r="AE43" i="3"/>
  <c r="AF43" i="3"/>
  <c r="AG43" i="3"/>
  <c r="AH43" i="3"/>
  <c r="AI43" i="3"/>
  <c r="AA43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AN36" i="3"/>
  <c r="AM31" i="3"/>
  <c r="AN31" i="3"/>
  <c r="AN50" i="3" s="1"/>
  <c r="AO31" i="3"/>
  <c r="AO50" i="3" s="1"/>
  <c r="AP31" i="3"/>
  <c r="AP41" i="3" s="1"/>
  <c r="AQ31" i="3"/>
  <c r="AQ44" i="3" s="1"/>
  <c r="AR31" i="3"/>
  <c r="AR41" i="3" s="1"/>
  <c r="AS31" i="3"/>
  <c r="AS46" i="3" s="1"/>
  <c r="AT31" i="3"/>
  <c r="AT48" i="3" s="1"/>
  <c r="AU31" i="3"/>
  <c r="AW31" i="3"/>
  <c r="AW46" i="3" s="1"/>
  <c r="AX31" i="3"/>
  <c r="AX50" i="3" s="1"/>
  <c r="AY31" i="3"/>
  <c r="AY41" i="3" s="1"/>
  <c r="AZ31" i="3"/>
  <c r="BA31" i="3"/>
  <c r="BA58" i="3" s="1"/>
  <c r="AN46" i="3"/>
  <c r="AO41" i="3"/>
  <c r="AO44" i="3"/>
  <c r="AO48" i="3"/>
  <c r="AO58" i="3"/>
  <c r="AO60" i="3"/>
  <c r="AO61" i="3"/>
  <c r="AO46" i="3"/>
  <c r="AO57" i="3"/>
  <c r="AO64" i="3"/>
  <c r="AP48" i="3"/>
  <c r="AP50" i="3"/>
  <c r="AP58" i="3"/>
  <c r="AP61" i="3"/>
  <c r="AP63" i="3"/>
  <c r="AP46" i="3"/>
  <c r="AP64" i="3"/>
  <c r="AQ41" i="3"/>
  <c r="AQ48" i="3"/>
  <c r="AQ58" i="3"/>
  <c r="AQ61" i="3"/>
  <c r="AQ46" i="3"/>
  <c r="AQ64" i="3"/>
  <c r="AR50" i="3"/>
  <c r="AR63" i="3"/>
  <c r="AR64" i="3"/>
  <c r="AS41" i="3"/>
  <c r="AS44" i="3"/>
  <c r="AS48" i="3"/>
  <c r="AS50" i="3"/>
  <c r="AS58" i="3"/>
  <c r="AS63" i="3"/>
  <c r="AS64" i="3"/>
  <c r="AS57" i="3"/>
  <c r="AT41" i="3"/>
  <c r="AT44" i="3"/>
  <c r="AT46" i="3"/>
  <c r="AT50" i="3"/>
  <c r="AT58" i="3"/>
  <c r="AT60" i="3"/>
  <c r="AT64" i="3"/>
  <c r="AT57" i="3"/>
  <c r="AT61" i="3"/>
  <c r="AU41" i="3"/>
  <c r="AU44" i="3"/>
  <c r="AU46" i="3"/>
  <c r="AU48" i="3"/>
  <c r="AU50" i="3"/>
  <c r="AU58" i="3"/>
  <c r="AU60" i="3"/>
  <c r="AU63" i="3"/>
  <c r="AU64" i="3"/>
  <c r="AU57" i="3"/>
  <c r="AU61" i="3"/>
  <c r="AV41" i="3"/>
  <c r="AV44" i="3"/>
  <c r="AV46" i="3"/>
  <c r="AV48" i="3"/>
  <c r="AV50" i="3"/>
  <c r="AV58" i="3"/>
  <c r="AV60" i="3"/>
  <c r="AV63" i="3"/>
  <c r="AV64" i="3"/>
  <c r="AV57" i="3"/>
  <c r="AV61" i="3"/>
  <c r="AW41" i="3"/>
  <c r="AW44" i="3"/>
  <c r="AW50" i="3"/>
  <c r="AW58" i="3"/>
  <c r="AW60" i="3"/>
  <c r="AW48" i="3"/>
  <c r="AW64" i="3"/>
  <c r="AW57" i="3"/>
  <c r="AX41" i="3"/>
  <c r="AX44" i="3"/>
  <c r="AX46" i="3"/>
  <c r="AX58" i="3"/>
  <c r="AX60" i="3"/>
  <c r="AX63" i="3"/>
  <c r="AX64" i="3"/>
  <c r="AX57" i="3"/>
  <c r="AX61" i="3"/>
  <c r="AY44" i="3"/>
  <c r="AY46" i="3"/>
  <c r="AY50" i="3"/>
  <c r="AY60" i="3"/>
  <c r="AY63" i="3"/>
  <c r="AY48" i="3"/>
  <c r="AY57" i="3"/>
  <c r="AY61" i="3"/>
  <c r="AZ41" i="3"/>
  <c r="AZ44" i="3"/>
  <c r="AZ46" i="3"/>
  <c r="AZ50" i="3"/>
  <c r="AZ58" i="3"/>
  <c r="AZ60" i="3"/>
  <c r="AZ63" i="3"/>
  <c r="AZ48" i="3"/>
  <c r="AZ64" i="3"/>
  <c r="AZ57" i="3"/>
  <c r="AZ61" i="3"/>
  <c r="BA63" i="3"/>
  <c r="BA50" i="3"/>
  <c r="BA41" i="3"/>
  <c r="BA46" i="3"/>
  <c r="BA48" i="3"/>
  <c r="BA57" i="3"/>
  <c r="BA61" i="3"/>
  <c r="BA64" i="3"/>
  <c r="AM48" i="3"/>
  <c r="AM50" i="3"/>
  <c r="AM58" i="3"/>
  <c r="AM60" i="3"/>
  <c r="AM63" i="3"/>
  <c r="AM41" i="3"/>
  <c r="AM44" i="3"/>
  <c r="AM46" i="3"/>
  <c r="AM57" i="3"/>
  <c r="AM61" i="3"/>
  <c r="AM64" i="3"/>
  <c r="Q6" i="3"/>
  <c r="O53" i="3"/>
  <c r="O55" i="3"/>
  <c r="O56" i="3"/>
  <c r="O81" i="3"/>
  <c r="O136" i="3"/>
  <c r="O190" i="3"/>
  <c r="O51" i="3"/>
  <c r="P53" i="3"/>
  <c r="P55" i="3"/>
  <c r="P56" i="3"/>
  <c r="P81" i="3"/>
  <c r="P136" i="3"/>
  <c r="P190" i="3"/>
  <c r="P51" i="3"/>
  <c r="AD17" i="3"/>
  <c r="R53" i="3"/>
  <c r="R55" i="3"/>
  <c r="R56" i="3"/>
  <c r="R81" i="3"/>
  <c r="R136" i="3"/>
  <c r="R190" i="3"/>
  <c r="R51" i="3"/>
  <c r="S53" i="3"/>
  <c r="S55" i="3"/>
  <c r="S56" i="3"/>
  <c r="S81" i="3"/>
  <c r="S136" i="3"/>
  <c r="S190" i="3"/>
  <c r="S51" i="3"/>
  <c r="T53" i="3"/>
  <c r="T55" i="3"/>
  <c r="T56" i="3"/>
  <c r="T81" i="3"/>
  <c r="T136" i="3"/>
  <c r="T190" i="3"/>
  <c r="T51" i="3"/>
  <c r="U53" i="3"/>
  <c r="U55" i="3"/>
  <c r="U56" i="3"/>
  <c r="U81" i="3"/>
  <c r="U136" i="3"/>
  <c r="U190" i="3"/>
  <c r="U51" i="3"/>
  <c r="V53" i="3"/>
  <c r="V55" i="3"/>
  <c r="V56" i="3"/>
  <c r="V81" i="3"/>
  <c r="V136" i="3"/>
  <c r="V190" i="3"/>
  <c r="V51" i="3"/>
  <c r="N53" i="3"/>
  <c r="N55" i="3"/>
  <c r="N56" i="3"/>
  <c r="N81" i="3"/>
  <c r="N136" i="3"/>
  <c r="N190" i="3"/>
  <c r="N51" i="3"/>
  <c r="O34" i="3"/>
  <c r="O35" i="3"/>
  <c r="O32" i="3"/>
  <c r="O37" i="3"/>
  <c r="O44" i="3"/>
  <c r="O47" i="3"/>
  <c r="O66" i="3"/>
  <c r="O67" i="3"/>
  <c r="O68" i="3"/>
  <c r="O75" i="3"/>
  <c r="O77" i="3"/>
  <c r="O146" i="3"/>
  <c r="O147" i="3"/>
  <c r="O148" i="3"/>
  <c r="O149" i="3"/>
  <c r="O165" i="3"/>
  <c r="O184" i="3"/>
  <c r="O185" i="3"/>
  <c r="O186" i="3"/>
  <c r="O187" i="3"/>
  <c r="O76" i="3"/>
  <c r="O134" i="3"/>
  <c r="P34" i="3"/>
  <c r="P35" i="3"/>
  <c r="P32" i="3"/>
  <c r="P37" i="3"/>
  <c r="P44" i="3"/>
  <c r="P47" i="3"/>
  <c r="P66" i="3"/>
  <c r="P67" i="3"/>
  <c r="P68" i="3"/>
  <c r="P75" i="3"/>
  <c r="P77" i="3"/>
  <c r="P146" i="3"/>
  <c r="P147" i="3"/>
  <c r="P148" i="3"/>
  <c r="P149" i="3"/>
  <c r="P165" i="3"/>
  <c r="P184" i="3"/>
  <c r="P185" i="3"/>
  <c r="P186" i="3"/>
  <c r="P187" i="3"/>
  <c r="P76" i="3"/>
  <c r="P134" i="3"/>
  <c r="AD28" i="3"/>
  <c r="R34" i="3"/>
  <c r="R35" i="3"/>
  <c r="R32" i="3"/>
  <c r="R37" i="3"/>
  <c r="R44" i="3"/>
  <c r="R47" i="3"/>
  <c r="R66" i="3"/>
  <c r="R67" i="3"/>
  <c r="R68" i="3"/>
  <c r="R75" i="3"/>
  <c r="R77" i="3"/>
  <c r="R146" i="3"/>
  <c r="R147" i="3"/>
  <c r="R148" i="3"/>
  <c r="R149" i="3"/>
  <c r="R165" i="3"/>
  <c r="R184" i="3"/>
  <c r="R185" i="3"/>
  <c r="R186" i="3"/>
  <c r="R187" i="3"/>
  <c r="R76" i="3"/>
  <c r="R134" i="3"/>
  <c r="S34" i="3"/>
  <c r="S35" i="3"/>
  <c r="S32" i="3"/>
  <c r="S37" i="3"/>
  <c r="S44" i="3"/>
  <c r="S47" i="3"/>
  <c r="S66" i="3"/>
  <c r="S67" i="3"/>
  <c r="S68" i="3"/>
  <c r="S75" i="3"/>
  <c r="S77" i="3"/>
  <c r="S146" i="3"/>
  <c r="S147" i="3"/>
  <c r="S148" i="3"/>
  <c r="S149" i="3"/>
  <c r="S165" i="3"/>
  <c r="S184" i="3"/>
  <c r="S185" i="3"/>
  <c r="S186" i="3"/>
  <c r="S187" i="3"/>
  <c r="S76" i="3"/>
  <c r="S134" i="3"/>
  <c r="AF28" i="3" s="1"/>
  <c r="T34" i="3"/>
  <c r="T35" i="3"/>
  <c r="T32" i="3"/>
  <c r="T37" i="3"/>
  <c r="T44" i="3"/>
  <c r="T47" i="3"/>
  <c r="T66" i="3"/>
  <c r="T67" i="3"/>
  <c r="T68" i="3"/>
  <c r="T75" i="3"/>
  <c r="T77" i="3"/>
  <c r="T146" i="3"/>
  <c r="T147" i="3"/>
  <c r="T148" i="3"/>
  <c r="T149" i="3"/>
  <c r="T165" i="3"/>
  <c r="T184" i="3"/>
  <c r="T185" i="3"/>
  <c r="T186" i="3"/>
  <c r="T187" i="3"/>
  <c r="T76" i="3"/>
  <c r="T134" i="3"/>
  <c r="U34" i="3"/>
  <c r="U35" i="3"/>
  <c r="U32" i="3"/>
  <c r="U37" i="3"/>
  <c r="U44" i="3"/>
  <c r="U47" i="3"/>
  <c r="U66" i="3"/>
  <c r="U67" i="3"/>
  <c r="U68" i="3"/>
  <c r="U75" i="3"/>
  <c r="U77" i="3"/>
  <c r="U146" i="3"/>
  <c r="U147" i="3"/>
  <c r="U148" i="3"/>
  <c r="U149" i="3"/>
  <c r="U165" i="3"/>
  <c r="U184" i="3"/>
  <c r="U185" i="3"/>
  <c r="U186" i="3"/>
  <c r="U187" i="3"/>
  <c r="U76" i="3"/>
  <c r="U134" i="3"/>
  <c r="V34" i="3"/>
  <c r="V35" i="3"/>
  <c r="V32" i="3"/>
  <c r="V37" i="3"/>
  <c r="V44" i="3"/>
  <c r="V47" i="3"/>
  <c r="V66" i="3"/>
  <c r="V67" i="3"/>
  <c r="V68" i="3"/>
  <c r="V75" i="3"/>
  <c r="V77" i="3"/>
  <c r="V146" i="3"/>
  <c r="V147" i="3"/>
  <c r="V148" i="3"/>
  <c r="V149" i="3"/>
  <c r="V165" i="3"/>
  <c r="V184" i="3"/>
  <c r="V185" i="3"/>
  <c r="V186" i="3"/>
  <c r="V187" i="3"/>
  <c r="V76" i="3"/>
  <c r="V134" i="3"/>
  <c r="N34" i="3"/>
  <c r="N35" i="3"/>
  <c r="N32" i="3"/>
  <c r="N37" i="3"/>
  <c r="N44" i="3"/>
  <c r="N47" i="3"/>
  <c r="N66" i="3"/>
  <c r="N67" i="3"/>
  <c r="N68" i="3"/>
  <c r="N75" i="3"/>
  <c r="N77" i="3"/>
  <c r="N146" i="3"/>
  <c r="N147" i="3"/>
  <c r="N148" i="3"/>
  <c r="N149" i="3"/>
  <c r="N165" i="3"/>
  <c r="N184" i="3"/>
  <c r="N185" i="3"/>
  <c r="N186" i="3"/>
  <c r="N187" i="3"/>
  <c r="N76" i="3"/>
  <c r="N134" i="3"/>
  <c r="O43" i="3"/>
  <c r="O46" i="3"/>
  <c r="O70" i="3"/>
  <c r="O71" i="3"/>
  <c r="O72" i="3"/>
  <c r="O131" i="3"/>
  <c r="O41" i="3"/>
  <c r="O100" i="3"/>
  <c r="P43" i="3"/>
  <c r="P46" i="3"/>
  <c r="P70" i="3"/>
  <c r="P71" i="3"/>
  <c r="P72" i="3"/>
  <c r="P131" i="3"/>
  <c r="P41" i="3"/>
  <c r="P100" i="3"/>
  <c r="AD25" i="3"/>
  <c r="R43" i="3"/>
  <c r="R46" i="3"/>
  <c r="R70" i="3"/>
  <c r="R71" i="3"/>
  <c r="R72" i="3"/>
  <c r="R131" i="3"/>
  <c r="R41" i="3"/>
  <c r="R100" i="3"/>
  <c r="S43" i="3"/>
  <c r="S46" i="3"/>
  <c r="S70" i="3"/>
  <c r="S71" i="3"/>
  <c r="S72" i="3"/>
  <c r="S131" i="3"/>
  <c r="S41" i="3"/>
  <c r="S100" i="3"/>
  <c r="T43" i="3"/>
  <c r="T46" i="3"/>
  <c r="T70" i="3"/>
  <c r="T71" i="3"/>
  <c r="T72" i="3"/>
  <c r="T131" i="3"/>
  <c r="T41" i="3"/>
  <c r="T100" i="3"/>
  <c r="U43" i="3"/>
  <c r="U46" i="3"/>
  <c r="U70" i="3"/>
  <c r="U71" i="3"/>
  <c r="U72" i="3"/>
  <c r="U131" i="3"/>
  <c r="U41" i="3"/>
  <c r="U100" i="3"/>
  <c r="V43" i="3"/>
  <c r="V46" i="3"/>
  <c r="V70" i="3"/>
  <c r="V71" i="3"/>
  <c r="V72" i="3"/>
  <c r="V131" i="3"/>
  <c r="V41" i="3"/>
  <c r="V100" i="3"/>
  <c r="N43" i="3"/>
  <c r="N46" i="3"/>
  <c r="N70" i="3"/>
  <c r="N71" i="3"/>
  <c r="N72" i="3"/>
  <c r="N131" i="3"/>
  <c r="N41" i="3"/>
  <c r="N100" i="3"/>
  <c r="O33" i="3"/>
  <c r="O36" i="3"/>
  <c r="O45" i="3"/>
  <c r="O78" i="3"/>
  <c r="O87" i="3"/>
  <c r="O88" i="3"/>
  <c r="O93" i="3"/>
  <c r="O94" i="3"/>
  <c r="O95" i="3"/>
  <c r="O96" i="3"/>
  <c r="O97" i="3"/>
  <c r="O98" i="3"/>
  <c r="O150" i="3"/>
  <c r="O176" i="3"/>
  <c r="O177" i="3"/>
  <c r="O178" i="3"/>
  <c r="O179" i="3"/>
  <c r="O180" i="3"/>
  <c r="O181" i="3"/>
  <c r="O138" i="3"/>
  <c r="O139" i="3"/>
  <c r="O140" i="3"/>
  <c r="O141" i="3"/>
  <c r="O142" i="3"/>
  <c r="O143" i="3"/>
  <c r="O144" i="3"/>
  <c r="O159" i="3"/>
  <c r="O160" i="3"/>
  <c r="P33" i="3"/>
  <c r="P36" i="3"/>
  <c r="P45" i="3"/>
  <c r="P78" i="3"/>
  <c r="P87" i="3"/>
  <c r="P88" i="3"/>
  <c r="P93" i="3"/>
  <c r="P94" i="3"/>
  <c r="P95" i="3"/>
  <c r="P96" i="3"/>
  <c r="P97" i="3"/>
  <c r="P98" i="3"/>
  <c r="P150" i="3"/>
  <c r="P176" i="3"/>
  <c r="P177" i="3"/>
  <c r="P178" i="3"/>
  <c r="P179" i="3"/>
  <c r="P180" i="3"/>
  <c r="P181" i="3"/>
  <c r="P138" i="3"/>
  <c r="P139" i="3"/>
  <c r="P140" i="3"/>
  <c r="P141" i="3"/>
  <c r="P142" i="3"/>
  <c r="P143" i="3"/>
  <c r="P144" i="3"/>
  <c r="P159" i="3"/>
  <c r="P160" i="3"/>
  <c r="AD23" i="3"/>
  <c r="R33" i="3"/>
  <c r="R36" i="3"/>
  <c r="R45" i="3"/>
  <c r="R78" i="3"/>
  <c r="R87" i="3"/>
  <c r="R88" i="3"/>
  <c r="R93" i="3"/>
  <c r="R94" i="3"/>
  <c r="R95" i="3"/>
  <c r="R96" i="3"/>
  <c r="R97" i="3"/>
  <c r="R98" i="3"/>
  <c r="R150" i="3"/>
  <c r="R176" i="3"/>
  <c r="R177" i="3"/>
  <c r="R178" i="3"/>
  <c r="R179" i="3"/>
  <c r="R180" i="3"/>
  <c r="R181" i="3"/>
  <c r="R138" i="3"/>
  <c r="R139" i="3"/>
  <c r="R140" i="3"/>
  <c r="R141" i="3"/>
  <c r="R142" i="3"/>
  <c r="R143" i="3"/>
  <c r="R144" i="3"/>
  <c r="R159" i="3"/>
  <c r="R160" i="3"/>
  <c r="S33" i="3"/>
  <c r="S36" i="3"/>
  <c r="AF23" i="3" s="1"/>
  <c r="S45" i="3"/>
  <c r="S78" i="3"/>
  <c r="S87" i="3"/>
  <c r="S88" i="3"/>
  <c r="S93" i="3"/>
  <c r="S94" i="3"/>
  <c r="S95" i="3"/>
  <c r="S96" i="3"/>
  <c r="S97" i="3"/>
  <c r="S98" i="3"/>
  <c r="S150" i="3"/>
  <c r="S176" i="3"/>
  <c r="S177" i="3"/>
  <c r="S178" i="3"/>
  <c r="S179" i="3"/>
  <c r="S180" i="3"/>
  <c r="S181" i="3"/>
  <c r="S138" i="3"/>
  <c r="S139" i="3"/>
  <c r="S140" i="3"/>
  <c r="S141" i="3"/>
  <c r="S142" i="3"/>
  <c r="S143" i="3"/>
  <c r="S144" i="3"/>
  <c r="S159" i="3"/>
  <c r="S160" i="3"/>
  <c r="T33" i="3"/>
  <c r="T36" i="3"/>
  <c r="T45" i="3"/>
  <c r="T78" i="3"/>
  <c r="T87" i="3"/>
  <c r="T88" i="3"/>
  <c r="T93" i="3"/>
  <c r="T94" i="3"/>
  <c r="T95" i="3"/>
  <c r="T96" i="3"/>
  <c r="T97" i="3"/>
  <c r="T98" i="3"/>
  <c r="T150" i="3"/>
  <c r="T176" i="3"/>
  <c r="T177" i="3"/>
  <c r="T178" i="3"/>
  <c r="T179" i="3"/>
  <c r="T180" i="3"/>
  <c r="T181" i="3"/>
  <c r="T138" i="3"/>
  <c r="T139" i="3"/>
  <c r="T140" i="3"/>
  <c r="T141" i="3"/>
  <c r="T142" i="3"/>
  <c r="T143" i="3"/>
  <c r="T144" i="3"/>
  <c r="T159" i="3"/>
  <c r="T160" i="3"/>
  <c r="U33" i="3"/>
  <c r="U36" i="3"/>
  <c r="U45" i="3"/>
  <c r="U78" i="3"/>
  <c r="U87" i="3"/>
  <c r="U88" i="3"/>
  <c r="U93" i="3"/>
  <c r="U94" i="3"/>
  <c r="U95" i="3"/>
  <c r="U96" i="3"/>
  <c r="U97" i="3"/>
  <c r="U98" i="3"/>
  <c r="U150" i="3"/>
  <c r="U176" i="3"/>
  <c r="U177" i="3"/>
  <c r="U178" i="3"/>
  <c r="U179" i="3"/>
  <c r="U180" i="3"/>
  <c r="U181" i="3"/>
  <c r="U138" i="3"/>
  <c r="U139" i="3"/>
  <c r="U140" i="3"/>
  <c r="U141" i="3"/>
  <c r="U142" i="3"/>
  <c r="U143" i="3"/>
  <c r="U144" i="3"/>
  <c r="U159" i="3"/>
  <c r="U160" i="3"/>
  <c r="V33" i="3"/>
  <c r="V36" i="3"/>
  <c r="V45" i="3"/>
  <c r="V78" i="3"/>
  <c r="V87" i="3"/>
  <c r="V88" i="3"/>
  <c r="V93" i="3"/>
  <c r="V94" i="3"/>
  <c r="V95" i="3"/>
  <c r="V96" i="3"/>
  <c r="V97" i="3"/>
  <c r="V98" i="3"/>
  <c r="V150" i="3"/>
  <c r="V176" i="3"/>
  <c r="V177" i="3"/>
  <c r="V178" i="3"/>
  <c r="V179" i="3"/>
  <c r="V180" i="3"/>
  <c r="V181" i="3"/>
  <c r="V138" i="3"/>
  <c r="V139" i="3"/>
  <c r="V140" i="3"/>
  <c r="V141" i="3"/>
  <c r="V142" i="3"/>
  <c r="V143" i="3"/>
  <c r="V144" i="3"/>
  <c r="V159" i="3"/>
  <c r="V160" i="3"/>
  <c r="N33" i="3"/>
  <c r="N36" i="3"/>
  <c r="N45" i="3"/>
  <c r="N78" i="3"/>
  <c r="N87" i="3"/>
  <c r="N88" i="3"/>
  <c r="N93" i="3"/>
  <c r="N94" i="3"/>
  <c r="N95" i="3"/>
  <c r="N96" i="3"/>
  <c r="N97" i="3"/>
  <c r="N98" i="3"/>
  <c r="N150" i="3"/>
  <c r="N176" i="3"/>
  <c r="N177" i="3"/>
  <c r="N178" i="3"/>
  <c r="N179" i="3"/>
  <c r="N180" i="3"/>
  <c r="N181" i="3"/>
  <c r="N138" i="3"/>
  <c r="N139" i="3"/>
  <c r="N140" i="3"/>
  <c r="N141" i="3"/>
  <c r="N142" i="3"/>
  <c r="N143" i="3"/>
  <c r="N144" i="3"/>
  <c r="N159" i="3"/>
  <c r="N160" i="3"/>
  <c r="O17" i="3"/>
  <c r="O26" i="3"/>
  <c r="O27" i="3"/>
  <c r="O30" i="3"/>
  <c r="O64" i="3"/>
  <c r="O133" i="3"/>
  <c r="O157" i="3"/>
  <c r="O163" i="3"/>
  <c r="O164" i="3"/>
  <c r="O167" i="3"/>
  <c r="O170" i="3"/>
  <c r="O173" i="3"/>
  <c r="O200" i="3"/>
  <c r="O23" i="3"/>
  <c r="O40" i="3"/>
  <c r="O106" i="3"/>
  <c r="O109" i="3"/>
  <c r="O112" i="3"/>
  <c r="O115" i="3"/>
  <c r="O118" i="3"/>
  <c r="O121" i="3"/>
  <c r="O124" i="3"/>
  <c r="O153" i="3"/>
  <c r="O128" i="3"/>
  <c r="O198" i="3"/>
  <c r="P17" i="3"/>
  <c r="P26" i="3"/>
  <c r="P27" i="3"/>
  <c r="P30" i="3"/>
  <c r="P64" i="3"/>
  <c r="P133" i="3"/>
  <c r="P157" i="3"/>
  <c r="P163" i="3"/>
  <c r="P164" i="3"/>
  <c r="P167" i="3"/>
  <c r="P170" i="3"/>
  <c r="P173" i="3"/>
  <c r="P200" i="3"/>
  <c r="P23" i="3"/>
  <c r="P40" i="3"/>
  <c r="P106" i="3"/>
  <c r="P109" i="3"/>
  <c r="P112" i="3"/>
  <c r="P115" i="3"/>
  <c r="P118" i="3"/>
  <c r="P121" i="3"/>
  <c r="P124" i="3"/>
  <c r="P153" i="3"/>
  <c r="P128" i="3"/>
  <c r="P198" i="3"/>
  <c r="AD20" i="3"/>
  <c r="R17" i="3"/>
  <c r="R26" i="3"/>
  <c r="R27" i="3"/>
  <c r="R30" i="3"/>
  <c r="R64" i="3"/>
  <c r="R133" i="3"/>
  <c r="R157" i="3"/>
  <c r="R163" i="3"/>
  <c r="R164" i="3"/>
  <c r="R167" i="3"/>
  <c r="R170" i="3"/>
  <c r="R173" i="3"/>
  <c r="R200" i="3"/>
  <c r="R23" i="3"/>
  <c r="R40" i="3"/>
  <c r="R106" i="3"/>
  <c r="R109" i="3"/>
  <c r="R112" i="3"/>
  <c r="R115" i="3"/>
  <c r="R118" i="3"/>
  <c r="R121" i="3"/>
  <c r="R124" i="3"/>
  <c r="R153" i="3"/>
  <c r="R128" i="3"/>
  <c r="R198" i="3"/>
  <c r="S17" i="3"/>
  <c r="S26" i="3"/>
  <c r="S27" i="3"/>
  <c r="S30" i="3"/>
  <c r="S64" i="3"/>
  <c r="S133" i="3"/>
  <c r="S157" i="3"/>
  <c r="S163" i="3"/>
  <c r="S164" i="3"/>
  <c r="S167" i="3"/>
  <c r="S170" i="3"/>
  <c r="S173" i="3"/>
  <c r="S200" i="3"/>
  <c r="S23" i="3"/>
  <c r="S40" i="3"/>
  <c r="S106" i="3"/>
  <c r="S109" i="3"/>
  <c r="S112" i="3"/>
  <c r="S115" i="3"/>
  <c r="S118" i="3"/>
  <c r="S121" i="3"/>
  <c r="S124" i="3"/>
  <c r="S153" i="3"/>
  <c r="S128" i="3"/>
  <c r="S198" i="3"/>
  <c r="T17" i="3"/>
  <c r="T26" i="3"/>
  <c r="T27" i="3"/>
  <c r="T30" i="3"/>
  <c r="T64" i="3"/>
  <c r="T133" i="3"/>
  <c r="T157" i="3"/>
  <c r="T163" i="3"/>
  <c r="T164" i="3"/>
  <c r="T167" i="3"/>
  <c r="T170" i="3"/>
  <c r="T173" i="3"/>
  <c r="T200" i="3"/>
  <c r="T23" i="3"/>
  <c r="T40" i="3"/>
  <c r="T106" i="3"/>
  <c r="T109" i="3"/>
  <c r="T112" i="3"/>
  <c r="T115" i="3"/>
  <c r="T118" i="3"/>
  <c r="T121" i="3"/>
  <c r="T124" i="3"/>
  <c r="T153" i="3"/>
  <c r="T128" i="3"/>
  <c r="T198" i="3"/>
  <c r="U17" i="3"/>
  <c r="U26" i="3"/>
  <c r="U27" i="3"/>
  <c r="U30" i="3"/>
  <c r="U64" i="3"/>
  <c r="U133" i="3"/>
  <c r="U157" i="3"/>
  <c r="U163" i="3"/>
  <c r="U164" i="3"/>
  <c r="U167" i="3"/>
  <c r="U170" i="3"/>
  <c r="U173" i="3"/>
  <c r="U200" i="3"/>
  <c r="U23" i="3"/>
  <c r="U40" i="3"/>
  <c r="U106" i="3"/>
  <c r="U109" i="3"/>
  <c r="U112" i="3"/>
  <c r="U115" i="3"/>
  <c r="U118" i="3"/>
  <c r="U121" i="3"/>
  <c r="U124" i="3"/>
  <c r="U153" i="3"/>
  <c r="U128" i="3"/>
  <c r="U198" i="3"/>
  <c r="V17" i="3"/>
  <c r="V26" i="3"/>
  <c r="V27" i="3"/>
  <c r="V30" i="3"/>
  <c r="V64" i="3"/>
  <c r="V133" i="3"/>
  <c r="V157" i="3"/>
  <c r="V163" i="3"/>
  <c r="V164" i="3"/>
  <c r="V167" i="3"/>
  <c r="V170" i="3"/>
  <c r="V173" i="3"/>
  <c r="V200" i="3"/>
  <c r="V23" i="3"/>
  <c r="V40" i="3"/>
  <c r="V106" i="3"/>
  <c r="V109" i="3"/>
  <c r="V112" i="3"/>
  <c r="V115" i="3"/>
  <c r="V118" i="3"/>
  <c r="V121" i="3"/>
  <c r="V124" i="3"/>
  <c r="V153" i="3"/>
  <c r="V128" i="3"/>
  <c r="V198" i="3"/>
  <c r="N17" i="3"/>
  <c r="N26" i="3"/>
  <c r="N27" i="3"/>
  <c r="N30" i="3"/>
  <c r="N64" i="3"/>
  <c r="N133" i="3"/>
  <c r="N157" i="3"/>
  <c r="N163" i="3"/>
  <c r="N164" i="3"/>
  <c r="N167" i="3"/>
  <c r="N170" i="3"/>
  <c r="N173" i="3"/>
  <c r="N200" i="3"/>
  <c r="N23" i="3"/>
  <c r="N40" i="3"/>
  <c r="N106" i="3"/>
  <c r="N109" i="3"/>
  <c r="N112" i="3"/>
  <c r="N115" i="3"/>
  <c r="N118" i="3"/>
  <c r="N121" i="3"/>
  <c r="N124" i="3"/>
  <c r="N153" i="3"/>
  <c r="N128" i="3"/>
  <c r="N198" i="3"/>
  <c r="O15" i="3"/>
  <c r="O16" i="3"/>
  <c r="O20" i="3"/>
  <c r="O28" i="3"/>
  <c r="O29" i="3"/>
  <c r="O39" i="3"/>
  <c r="O84" i="3"/>
  <c r="O105" i="3"/>
  <c r="O108" i="3"/>
  <c r="O111" i="3"/>
  <c r="O114" i="3"/>
  <c r="O117" i="3"/>
  <c r="O120" i="3"/>
  <c r="O123" i="3"/>
  <c r="O127" i="3"/>
  <c r="O152" i="3"/>
  <c r="O155" i="3"/>
  <c r="O156" i="3"/>
  <c r="O166" i="3"/>
  <c r="O169" i="3"/>
  <c r="O172" i="3"/>
  <c r="P15" i="3"/>
  <c r="P16" i="3"/>
  <c r="P20" i="3"/>
  <c r="P28" i="3"/>
  <c r="P29" i="3"/>
  <c r="P39" i="3"/>
  <c r="P84" i="3"/>
  <c r="P105" i="3"/>
  <c r="P108" i="3"/>
  <c r="P111" i="3"/>
  <c r="P114" i="3"/>
  <c r="P117" i="3"/>
  <c r="P120" i="3"/>
  <c r="P123" i="3"/>
  <c r="P127" i="3"/>
  <c r="P152" i="3"/>
  <c r="P155" i="3"/>
  <c r="P156" i="3"/>
  <c r="P166" i="3"/>
  <c r="P169" i="3"/>
  <c r="P172" i="3"/>
  <c r="AD18" i="3"/>
  <c r="R15" i="3"/>
  <c r="R16" i="3"/>
  <c r="R20" i="3"/>
  <c r="R28" i="3"/>
  <c r="R29" i="3"/>
  <c r="R39" i="3"/>
  <c r="R84" i="3"/>
  <c r="R105" i="3"/>
  <c r="R108" i="3"/>
  <c r="R111" i="3"/>
  <c r="R114" i="3"/>
  <c r="R117" i="3"/>
  <c r="R120" i="3"/>
  <c r="R123" i="3"/>
  <c r="R127" i="3"/>
  <c r="R152" i="3"/>
  <c r="R155" i="3"/>
  <c r="R156" i="3"/>
  <c r="R166" i="3"/>
  <c r="R169" i="3"/>
  <c r="R172" i="3"/>
  <c r="S15" i="3"/>
  <c r="S16" i="3"/>
  <c r="S20" i="3"/>
  <c r="S28" i="3"/>
  <c r="S29" i="3"/>
  <c r="S39" i="3"/>
  <c r="S84" i="3"/>
  <c r="S105" i="3"/>
  <c r="S108" i="3"/>
  <c r="S111" i="3"/>
  <c r="S114" i="3"/>
  <c r="S117" i="3"/>
  <c r="S120" i="3"/>
  <c r="S123" i="3"/>
  <c r="S127" i="3"/>
  <c r="S152" i="3"/>
  <c r="S155" i="3"/>
  <c r="S156" i="3"/>
  <c r="S166" i="3"/>
  <c r="S169" i="3"/>
  <c r="S172" i="3"/>
  <c r="T15" i="3"/>
  <c r="T16" i="3"/>
  <c r="T20" i="3"/>
  <c r="T28" i="3"/>
  <c r="T29" i="3"/>
  <c r="T39" i="3"/>
  <c r="T84" i="3"/>
  <c r="T105" i="3"/>
  <c r="T108" i="3"/>
  <c r="T111" i="3"/>
  <c r="T114" i="3"/>
  <c r="T117" i="3"/>
  <c r="T120" i="3"/>
  <c r="T123" i="3"/>
  <c r="T127" i="3"/>
  <c r="T152" i="3"/>
  <c r="T155" i="3"/>
  <c r="T156" i="3"/>
  <c r="T166" i="3"/>
  <c r="T169" i="3"/>
  <c r="T172" i="3"/>
  <c r="U15" i="3"/>
  <c r="U16" i="3"/>
  <c r="U20" i="3"/>
  <c r="U28" i="3"/>
  <c r="U29" i="3"/>
  <c r="U39" i="3"/>
  <c r="U84" i="3"/>
  <c r="U105" i="3"/>
  <c r="U108" i="3"/>
  <c r="U111" i="3"/>
  <c r="U114" i="3"/>
  <c r="U117" i="3"/>
  <c r="U120" i="3"/>
  <c r="U123" i="3"/>
  <c r="U127" i="3"/>
  <c r="U152" i="3"/>
  <c r="U155" i="3"/>
  <c r="U156" i="3"/>
  <c r="U166" i="3"/>
  <c r="U169" i="3"/>
  <c r="U172" i="3"/>
  <c r="V15" i="3"/>
  <c r="V16" i="3"/>
  <c r="V20" i="3"/>
  <c r="V28" i="3"/>
  <c r="V29" i="3"/>
  <c r="V39" i="3"/>
  <c r="V84" i="3"/>
  <c r="V105" i="3"/>
  <c r="V108" i="3"/>
  <c r="V111" i="3"/>
  <c r="V114" i="3"/>
  <c r="V117" i="3"/>
  <c r="V120" i="3"/>
  <c r="V123" i="3"/>
  <c r="V127" i="3"/>
  <c r="V152" i="3"/>
  <c r="V155" i="3"/>
  <c r="V156" i="3"/>
  <c r="V166" i="3"/>
  <c r="V169" i="3"/>
  <c r="V172" i="3"/>
  <c r="N15" i="3"/>
  <c r="N16" i="3"/>
  <c r="N20" i="3"/>
  <c r="N28" i="3"/>
  <c r="N29" i="3"/>
  <c r="N39" i="3"/>
  <c r="N84" i="3"/>
  <c r="N105" i="3"/>
  <c r="N108" i="3"/>
  <c r="N111" i="3"/>
  <c r="N114" i="3"/>
  <c r="N117" i="3"/>
  <c r="N120" i="3"/>
  <c r="N123" i="3"/>
  <c r="N127" i="3"/>
  <c r="N152" i="3"/>
  <c r="N155" i="3"/>
  <c r="N156" i="3"/>
  <c r="N166" i="3"/>
  <c r="N169" i="3"/>
  <c r="N172" i="3"/>
  <c r="N175" i="3"/>
  <c r="N192" i="3"/>
  <c r="N193" i="3"/>
  <c r="N203" i="3"/>
  <c r="N204" i="3"/>
  <c r="N206" i="3"/>
  <c r="N13" i="3"/>
  <c r="N7" i="3"/>
  <c r="N8" i="3"/>
  <c r="N11" i="3"/>
  <c r="N12" i="3"/>
  <c r="N6" i="3"/>
  <c r="AA7" i="3" s="1"/>
  <c r="N21" i="3"/>
  <c r="N22" i="3"/>
  <c r="N24" i="3"/>
  <c r="N25" i="3"/>
  <c r="N42" i="3"/>
  <c r="N49" i="3"/>
  <c r="N50" i="3"/>
  <c r="N52" i="3"/>
  <c r="N54" i="3"/>
  <c r="N57" i="3"/>
  <c r="N80" i="3"/>
  <c r="N83" i="3"/>
  <c r="N135" i="3"/>
  <c r="N189" i="3"/>
  <c r="N196" i="3"/>
  <c r="N197" i="3"/>
  <c r="N199" i="3"/>
  <c r="N9" i="3"/>
  <c r="N90" i="3"/>
  <c r="N91" i="3"/>
  <c r="N92" i="3"/>
  <c r="N104" i="3"/>
  <c r="N162" i="3"/>
  <c r="N69" i="3"/>
  <c r="N126" i="3"/>
  <c r="N60" i="3"/>
  <c r="N61" i="3"/>
  <c r="N74" i="3"/>
  <c r="N85" i="3"/>
  <c r="N102" i="3"/>
  <c r="N103" i="3"/>
  <c r="N130" i="3"/>
  <c r="N183" i="3"/>
  <c r="N195" i="3"/>
  <c r="N202" i="3"/>
  <c r="N82" i="3"/>
  <c r="N14" i="3"/>
  <c r="N59" i="3"/>
  <c r="N63" i="3"/>
  <c r="N107" i="3"/>
  <c r="N132" i="3"/>
  <c r="O175" i="3"/>
  <c r="O192" i="3"/>
  <c r="O193" i="3"/>
  <c r="O203" i="3"/>
  <c r="O204" i="3"/>
  <c r="O206" i="3"/>
  <c r="O21" i="3"/>
  <c r="O22" i="3"/>
  <c r="O24" i="3"/>
  <c r="O25" i="3"/>
  <c r="O42" i="3"/>
  <c r="O49" i="3"/>
  <c r="O50" i="3"/>
  <c r="O52" i="3"/>
  <c r="O54" i="3"/>
  <c r="O57" i="3"/>
  <c r="O80" i="3"/>
  <c r="O83" i="3"/>
  <c r="O135" i="3"/>
  <c r="O189" i="3"/>
  <c r="O196" i="3"/>
  <c r="O197" i="3"/>
  <c r="O199" i="3"/>
  <c r="O69" i="3"/>
  <c r="O126" i="3"/>
  <c r="O60" i="3"/>
  <c r="O61" i="3"/>
  <c r="O74" i="3"/>
  <c r="O85" i="3"/>
  <c r="O102" i="3"/>
  <c r="O103" i="3"/>
  <c r="O130" i="3"/>
  <c r="O183" i="3"/>
  <c r="O195" i="3"/>
  <c r="O202" i="3"/>
  <c r="O9" i="3"/>
  <c r="O90" i="3"/>
  <c r="O91" i="3"/>
  <c r="O92" i="3"/>
  <c r="O104" i="3"/>
  <c r="O162" i="3"/>
  <c r="O14" i="3"/>
  <c r="O59" i="3"/>
  <c r="O63" i="3"/>
  <c r="O107" i="3"/>
  <c r="O132" i="3"/>
  <c r="O6" i="3"/>
  <c r="AB7" i="3" s="1"/>
  <c r="O7" i="3"/>
  <c r="O8" i="3"/>
  <c r="O11" i="3"/>
  <c r="O12" i="3"/>
  <c r="O13" i="3"/>
  <c r="P175" i="3"/>
  <c r="P192" i="3"/>
  <c r="P193" i="3"/>
  <c r="P203" i="3"/>
  <c r="P204" i="3"/>
  <c r="P206" i="3"/>
  <c r="P21" i="3"/>
  <c r="P22" i="3"/>
  <c r="P24" i="3"/>
  <c r="P25" i="3"/>
  <c r="P42" i="3"/>
  <c r="P49" i="3"/>
  <c r="P50" i="3"/>
  <c r="P52" i="3"/>
  <c r="P54" i="3"/>
  <c r="P57" i="3"/>
  <c r="P80" i="3"/>
  <c r="P83" i="3"/>
  <c r="P135" i="3"/>
  <c r="P189" i="3"/>
  <c r="P196" i="3"/>
  <c r="P197" i="3"/>
  <c r="P199" i="3"/>
  <c r="P69" i="3"/>
  <c r="P126" i="3"/>
  <c r="P60" i="3"/>
  <c r="P61" i="3"/>
  <c r="P74" i="3"/>
  <c r="P85" i="3"/>
  <c r="P102" i="3"/>
  <c r="P103" i="3"/>
  <c r="P130" i="3"/>
  <c r="P183" i="3"/>
  <c r="P195" i="3"/>
  <c r="P202" i="3"/>
  <c r="P9" i="3"/>
  <c r="P90" i="3"/>
  <c r="P91" i="3"/>
  <c r="P92" i="3"/>
  <c r="P104" i="3"/>
  <c r="P162" i="3"/>
  <c r="P14" i="3"/>
  <c r="P59" i="3"/>
  <c r="P63" i="3"/>
  <c r="P107" i="3"/>
  <c r="P132" i="3"/>
  <c r="P6" i="3"/>
  <c r="AC7" i="3" s="1"/>
  <c r="P7" i="3"/>
  <c r="P8" i="3"/>
  <c r="P11" i="3"/>
  <c r="P12" i="3"/>
  <c r="P13" i="3"/>
  <c r="AD16" i="3"/>
  <c r="AD19" i="3"/>
  <c r="AD29" i="3"/>
  <c r="AD13" i="3"/>
  <c r="AD11" i="3"/>
  <c r="AD9" i="3"/>
  <c r="AD7" i="3"/>
  <c r="AD8" i="3"/>
  <c r="R175" i="3"/>
  <c r="R192" i="3"/>
  <c r="R193" i="3"/>
  <c r="R203" i="3"/>
  <c r="R204" i="3"/>
  <c r="R206" i="3"/>
  <c r="R21" i="3"/>
  <c r="R22" i="3"/>
  <c r="R24" i="3"/>
  <c r="R25" i="3"/>
  <c r="R42" i="3"/>
  <c r="R49" i="3"/>
  <c r="R50" i="3"/>
  <c r="R52" i="3"/>
  <c r="R54" i="3"/>
  <c r="R57" i="3"/>
  <c r="R80" i="3"/>
  <c r="R83" i="3"/>
  <c r="R135" i="3"/>
  <c r="R189" i="3"/>
  <c r="R196" i="3"/>
  <c r="R197" i="3"/>
  <c r="R199" i="3"/>
  <c r="R69" i="3"/>
  <c r="R126" i="3"/>
  <c r="R60" i="3"/>
  <c r="R61" i="3"/>
  <c r="R74" i="3"/>
  <c r="R85" i="3"/>
  <c r="R102" i="3"/>
  <c r="R103" i="3"/>
  <c r="R130" i="3"/>
  <c r="R183" i="3"/>
  <c r="R195" i="3"/>
  <c r="R202" i="3"/>
  <c r="R9" i="3"/>
  <c r="R90" i="3"/>
  <c r="R91" i="3"/>
  <c r="R92" i="3"/>
  <c r="R104" i="3"/>
  <c r="R162" i="3"/>
  <c r="R14" i="3"/>
  <c r="R59" i="3"/>
  <c r="R63" i="3"/>
  <c r="R107" i="3"/>
  <c r="R132" i="3"/>
  <c r="R6" i="3"/>
  <c r="AE7" i="3" s="1"/>
  <c r="R7" i="3"/>
  <c r="R8" i="3"/>
  <c r="R11" i="3"/>
  <c r="R13" i="3"/>
  <c r="S175" i="3"/>
  <c r="S192" i="3"/>
  <c r="S193" i="3"/>
  <c r="S203" i="3"/>
  <c r="S204" i="3"/>
  <c r="S206" i="3"/>
  <c r="S21" i="3"/>
  <c r="S22" i="3"/>
  <c r="S24" i="3"/>
  <c r="S25" i="3"/>
  <c r="S42" i="3"/>
  <c r="S49" i="3"/>
  <c r="S50" i="3"/>
  <c r="S52" i="3"/>
  <c r="S54" i="3"/>
  <c r="S57" i="3"/>
  <c r="S80" i="3"/>
  <c r="S83" i="3"/>
  <c r="S135" i="3"/>
  <c r="S189" i="3"/>
  <c r="S196" i="3"/>
  <c r="S197" i="3"/>
  <c r="S199" i="3"/>
  <c r="S69" i="3"/>
  <c r="S126" i="3"/>
  <c r="S60" i="3"/>
  <c r="S61" i="3"/>
  <c r="S74" i="3"/>
  <c r="S85" i="3"/>
  <c r="S102" i="3"/>
  <c r="S103" i="3"/>
  <c r="S130" i="3"/>
  <c r="S183" i="3"/>
  <c r="S195" i="3"/>
  <c r="S202" i="3"/>
  <c r="S9" i="3"/>
  <c r="S90" i="3"/>
  <c r="S91" i="3"/>
  <c r="S92" i="3"/>
  <c r="S104" i="3"/>
  <c r="S162" i="3"/>
  <c r="S14" i="3"/>
  <c r="S59" i="3"/>
  <c r="S63" i="3"/>
  <c r="S107" i="3"/>
  <c r="S132" i="3"/>
  <c r="S6" i="3"/>
  <c r="AF7" i="3" s="1"/>
  <c r="S7" i="3"/>
  <c r="S8" i="3"/>
  <c r="S11" i="3"/>
  <c r="S12" i="3"/>
  <c r="S13" i="3"/>
  <c r="T175" i="3"/>
  <c r="T192" i="3"/>
  <c r="T193" i="3"/>
  <c r="T203" i="3"/>
  <c r="T204" i="3"/>
  <c r="T206" i="3"/>
  <c r="T21" i="3"/>
  <c r="T22" i="3"/>
  <c r="T24" i="3"/>
  <c r="T25" i="3"/>
  <c r="T42" i="3"/>
  <c r="T49" i="3"/>
  <c r="T50" i="3"/>
  <c r="T52" i="3"/>
  <c r="T54" i="3"/>
  <c r="T57" i="3"/>
  <c r="T80" i="3"/>
  <c r="T83" i="3"/>
  <c r="T135" i="3"/>
  <c r="T189" i="3"/>
  <c r="T196" i="3"/>
  <c r="T197" i="3"/>
  <c r="T199" i="3"/>
  <c r="T69" i="3"/>
  <c r="T126" i="3"/>
  <c r="AG29" i="3" s="1"/>
  <c r="T60" i="3"/>
  <c r="T61" i="3"/>
  <c r="T74" i="3"/>
  <c r="T85" i="3"/>
  <c r="T102" i="3"/>
  <c r="T103" i="3"/>
  <c r="T130" i="3"/>
  <c r="T183" i="3"/>
  <c r="T195" i="3"/>
  <c r="T202" i="3"/>
  <c r="T9" i="3"/>
  <c r="T90" i="3"/>
  <c r="T91" i="3"/>
  <c r="T92" i="3"/>
  <c r="T104" i="3"/>
  <c r="T162" i="3"/>
  <c r="T14" i="3"/>
  <c r="T59" i="3"/>
  <c r="T63" i="3"/>
  <c r="T107" i="3"/>
  <c r="T132" i="3"/>
  <c r="T6" i="3"/>
  <c r="AG7" i="3" s="1"/>
  <c r="T7" i="3"/>
  <c r="T8" i="3"/>
  <c r="T11" i="3"/>
  <c r="T12" i="3"/>
  <c r="T13" i="3"/>
  <c r="U175" i="3"/>
  <c r="U192" i="3"/>
  <c r="U193" i="3"/>
  <c r="U203" i="3"/>
  <c r="U204" i="3"/>
  <c r="U206" i="3"/>
  <c r="U21" i="3"/>
  <c r="U22" i="3"/>
  <c r="U24" i="3"/>
  <c r="U25" i="3"/>
  <c r="U42" i="3"/>
  <c r="U49" i="3"/>
  <c r="U50" i="3"/>
  <c r="U52" i="3"/>
  <c r="U54" i="3"/>
  <c r="U57" i="3"/>
  <c r="U80" i="3"/>
  <c r="U83" i="3"/>
  <c r="U135" i="3"/>
  <c r="U189" i="3"/>
  <c r="U196" i="3"/>
  <c r="U197" i="3"/>
  <c r="U199" i="3"/>
  <c r="U69" i="3"/>
  <c r="U126" i="3"/>
  <c r="U60" i="3"/>
  <c r="U61" i="3"/>
  <c r="U74" i="3"/>
  <c r="U85" i="3"/>
  <c r="U102" i="3"/>
  <c r="U103" i="3"/>
  <c r="U130" i="3"/>
  <c r="U183" i="3"/>
  <c r="U195" i="3"/>
  <c r="U202" i="3"/>
  <c r="U9" i="3"/>
  <c r="U90" i="3"/>
  <c r="U91" i="3"/>
  <c r="U92" i="3"/>
  <c r="U104" i="3"/>
  <c r="U162" i="3"/>
  <c r="U14" i="3"/>
  <c r="U59" i="3"/>
  <c r="U63" i="3"/>
  <c r="U107" i="3"/>
  <c r="U132" i="3"/>
  <c r="U6" i="3"/>
  <c r="AH7" i="3" s="1"/>
  <c r="U7" i="3"/>
  <c r="U8" i="3"/>
  <c r="U11" i="3"/>
  <c r="U12" i="3"/>
  <c r="U13" i="3"/>
  <c r="V175" i="3"/>
  <c r="V192" i="3"/>
  <c r="V193" i="3"/>
  <c r="V203" i="3"/>
  <c r="V204" i="3"/>
  <c r="V206" i="3"/>
  <c r="V21" i="3"/>
  <c r="V22" i="3"/>
  <c r="V24" i="3"/>
  <c r="V25" i="3"/>
  <c r="V42" i="3"/>
  <c r="V49" i="3"/>
  <c r="V50" i="3"/>
  <c r="V52" i="3"/>
  <c r="V54" i="3"/>
  <c r="V57" i="3"/>
  <c r="V80" i="3"/>
  <c r="V83" i="3"/>
  <c r="V135" i="3"/>
  <c r="V189" i="3"/>
  <c r="V196" i="3"/>
  <c r="V197" i="3"/>
  <c r="V199" i="3"/>
  <c r="V69" i="3"/>
  <c r="V126" i="3"/>
  <c r="V60" i="3"/>
  <c r="V61" i="3"/>
  <c r="V74" i="3"/>
  <c r="V85" i="3"/>
  <c r="V102" i="3"/>
  <c r="V103" i="3"/>
  <c r="V130" i="3"/>
  <c r="V183" i="3"/>
  <c r="V195" i="3"/>
  <c r="V202" i="3"/>
  <c r="V9" i="3"/>
  <c r="V90" i="3"/>
  <c r="V91" i="3"/>
  <c r="V92" i="3"/>
  <c r="V104" i="3"/>
  <c r="V162" i="3"/>
  <c r="V14" i="3"/>
  <c r="V59" i="3"/>
  <c r="V63" i="3"/>
  <c r="V107" i="3"/>
  <c r="V132" i="3"/>
  <c r="V6" i="3"/>
  <c r="AI7" i="3" s="1"/>
  <c r="V7" i="3"/>
  <c r="V8" i="3"/>
  <c r="V11" i="3"/>
  <c r="V12" i="3"/>
  <c r="V13" i="3"/>
  <c r="O19" i="3"/>
  <c r="O82" i="3"/>
  <c r="O101" i="3"/>
  <c r="P19" i="3"/>
  <c r="P82" i="3"/>
  <c r="P101" i="3"/>
  <c r="Q207" i="3"/>
  <c r="R19" i="3"/>
  <c r="R82" i="3"/>
  <c r="R101" i="3"/>
  <c r="S19" i="3"/>
  <c r="S207" i="3" s="1"/>
  <c r="S82" i="3"/>
  <c r="S101" i="3"/>
  <c r="T19" i="3"/>
  <c r="T82" i="3"/>
  <c r="T101" i="3"/>
  <c r="U19" i="3"/>
  <c r="U82" i="3"/>
  <c r="U101" i="3"/>
  <c r="V19" i="3"/>
  <c r="V82" i="3"/>
  <c r="V101" i="3"/>
  <c r="N19" i="3"/>
  <c r="N101" i="3"/>
  <c r="U207" i="3"/>
  <c r="AB23" i="3" l="1"/>
  <c r="AM66" i="3"/>
  <c r="AN63" i="3"/>
  <c r="CY33" i="3"/>
  <c r="AG16" i="3"/>
  <c r="AN60" i="3"/>
  <c r="CU33" i="3"/>
  <c r="AZ66" i="3"/>
  <c r="AR60" i="3"/>
  <c r="AN57" i="3"/>
  <c r="AN48" i="3"/>
  <c r="BA60" i="3"/>
  <c r="BA44" i="3"/>
  <c r="BA66" i="3" s="1"/>
  <c r="AY64" i="3"/>
  <c r="AY58" i="3"/>
  <c r="AY66" i="3" s="1"/>
  <c r="AX48" i="3"/>
  <c r="AX66" i="3" s="1"/>
  <c r="AW61" i="3"/>
  <c r="AW63" i="3"/>
  <c r="AT63" i="3"/>
  <c r="AS61" i="3"/>
  <c r="AS60" i="3"/>
  <c r="AS66" i="3" s="1"/>
  <c r="AR57" i="3"/>
  <c r="AR44" i="3"/>
  <c r="AP57" i="3"/>
  <c r="AP60" i="3"/>
  <c r="AP44" i="3"/>
  <c r="AO63" i="3"/>
  <c r="AN64" i="3"/>
  <c r="AN44" i="3"/>
  <c r="AN58" i="3"/>
  <c r="BY33" i="3"/>
  <c r="CC33" i="3"/>
  <c r="DA33" i="3" s="1"/>
  <c r="CG33" i="3"/>
  <c r="DD33" i="3" s="1"/>
  <c r="AN61" i="3"/>
  <c r="AN41" i="3"/>
  <c r="CW33" i="3"/>
  <c r="AC19" i="3"/>
  <c r="AB19" i="3"/>
  <c r="AA18" i="3"/>
  <c r="AH18" i="3"/>
  <c r="AF18" i="3"/>
  <c r="AC20" i="3"/>
  <c r="AA23" i="3"/>
  <c r="AA28" i="3"/>
  <c r="AV66" i="3"/>
  <c r="AI11" i="3"/>
  <c r="AC8" i="3"/>
  <c r="AB8" i="3"/>
  <c r="AA29" i="3"/>
  <c r="AI18" i="3"/>
  <c r="AG18" i="3"/>
  <c r="AE18" i="3"/>
  <c r="AB20" i="3"/>
  <c r="AG25" i="3"/>
  <c r="AW66" i="3"/>
  <c r="BS33" i="3"/>
  <c r="CP33" i="3" s="1"/>
  <c r="CP16" i="3"/>
  <c r="DF16" i="3"/>
  <c r="DE16" i="3"/>
  <c r="N207" i="3"/>
  <c r="AH29" i="3"/>
  <c r="AG9" i="3"/>
  <c r="AF29" i="3"/>
  <c r="AD6" i="3"/>
  <c r="AD31" i="3" s="1"/>
  <c r="AD33" i="3" s="1"/>
  <c r="AD15" i="3"/>
  <c r="AC29" i="3"/>
  <c r="AB29" i="3"/>
  <c r="AA9" i="3"/>
  <c r="AI25" i="3"/>
  <c r="AC25" i="3"/>
  <c r="AT66" i="3"/>
  <c r="AO66" i="3"/>
  <c r="BT33" i="3"/>
  <c r="CQ33" i="3" s="1"/>
  <c r="CQ16" i="3"/>
  <c r="AE19" i="3"/>
  <c r="AH23" i="3"/>
  <c r="AE25" i="3"/>
  <c r="AH28" i="3"/>
  <c r="AU66" i="3"/>
  <c r="CT33" i="3"/>
  <c r="CV33" i="3"/>
  <c r="CX33" i="3"/>
  <c r="DB33" i="3"/>
  <c r="CR16" i="3"/>
  <c r="DC16" i="3"/>
  <c r="DE33" i="3"/>
  <c r="CS33" i="3"/>
  <c r="CR33" i="3"/>
  <c r="AR46" i="3"/>
  <c r="AR61" i="3"/>
  <c r="AR58" i="3"/>
  <c r="AR48" i="3"/>
  <c r="AQ57" i="3"/>
  <c r="AQ63" i="3"/>
  <c r="AQ60" i="3"/>
  <c r="AQ50" i="3"/>
  <c r="P207" i="3"/>
  <c r="AI8" i="3"/>
  <c r="AI13" i="3"/>
  <c r="AI19" i="3"/>
  <c r="AH9" i="3"/>
  <c r="AH19" i="3"/>
  <c r="T207" i="3"/>
  <c r="AG19" i="3"/>
  <c r="AF9" i="3"/>
  <c r="AF19" i="3"/>
  <c r="AE8" i="3"/>
  <c r="AE9" i="3"/>
  <c r="AC6" i="3"/>
  <c r="AC11" i="3"/>
  <c r="AC13" i="3"/>
  <c r="AC16" i="3"/>
  <c r="AB6" i="3"/>
  <c r="AB11" i="3"/>
  <c r="AB13" i="3"/>
  <c r="AB16" i="3"/>
  <c r="AA16" i="3"/>
  <c r="AB18" i="3"/>
  <c r="AI20" i="3"/>
  <c r="AG20" i="3"/>
  <c r="AE20" i="3"/>
  <c r="AG23" i="3"/>
  <c r="AC23" i="3"/>
  <c r="AH25" i="3"/>
  <c r="AB25" i="3"/>
  <c r="AG28" i="3"/>
  <c r="AE28" i="3"/>
  <c r="AI17" i="3"/>
  <c r="AG17" i="3"/>
  <c r="AE17" i="3"/>
  <c r="AC17" i="3"/>
  <c r="R207" i="3"/>
  <c r="O207" i="3"/>
  <c r="AI9" i="3"/>
  <c r="AI29" i="3"/>
  <c r="AI16" i="3"/>
  <c r="AH8" i="3"/>
  <c r="AH6" i="3" s="1"/>
  <c r="AH11" i="3"/>
  <c r="AH13" i="3"/>
  <c r="AH16" i="3"/>
  <c r="AG8" i="3"/>
  <c r="AG6" i="3" s="1"/>
  <c r="AG11" i="3"/>
  <c r="AG13" i="3"/>
  <c r="AF8" i="3"/>
  <c r="AF6" i="3" s="1"/>
  <c r="AF11" i="3"/>
  <c r="AF13" i="3"/>
  <c r="AF16" i="3"/>
  <c r="AE11" i="3"/>
  <c r="AE13" i="3"/>
  <c r="AE29" i="3"/>
  <c r="AE16" i="3"/>
  <c r="AC9" i="3"/>
  <c r="AB9" i="3"/>
  <c r="AA13" i="3"/>
  <c r="AA11" i="3"/>
  <c r="AA19" i="3"/>
  <c r="AA8" i="3"/>
  <c r="AA6" i="3" s="1"/>
  <c r="AC18" i="3"/>
  <c r="AA20" i="3"/>
  <c r="AH20" i="3"/>
  <c r="AF20" i="3"/>
  <c r="AI23" i="3"/>
  <c r="AE23" i="3"/>
  <c r="AA25" i="3"/>
  <c r="AF25" i="3"/>
  <c r="AI28" i="3"/>
  <c r="AC28" i="3"/>
  <c r="AB28" i="3"/>
  <c r="AA17" i="3"/>
  <c r="AH17" i="3"/>
  <c r="AF17" i="3"/>
  <c r="AB17" i="3"/>
  <c r="AN66" i="3"/>
  <c r="AI6" i="3"/>
  <c r="AI15" i="3"/>
  <c r="AF15" i="3"/>
  <c r="AF31" i="3" s="1"/>
  <c r="AF33" i="3" s="1"/>
  <c r="AE6" i="3"/>
  <c r="AG15" i="3"/>
  <c r="BD32" i="3"/>
  <c r="V207" i="3"/>
  <c r="AH15" i="3" l="1"/>
  <c r="AH31" i="3" s="1"/>
  <c r="AH33" i="3" s="1"/>
  <c r="AP66" i="3"/>
  <c r="AA15" i="3"/>
  <c r="AE15" i="3"/>
  <c r="AE31" i="3" s="1"/>
  <c r="AE33" i="3" s="1"/>
  <c r="CZ33" i="3"/>
  <c r="AQ66" i="3"/>
  <c r="AI31" i="3"/>
  <c r="AI33" i="3" s="1"/>
  <c r="AG31" i="3"/>
  <c r="AG33" i="3" s="1"/>
  <c r="AR66" i="3"/>
  <c r="AA31" i="3"/>
  <c r="AA33" i="3" s="1"/>
  <c r="AB15" i="3"/>
  <c r="AB31" i="3" s="1"/>
  <c r="AB33" i="3" s="1"/>
  <c r="AC15" i="3"/>
  <c r="AC31" i="3" s="1"/>
  <c r="AC33" i="3" s="1"/>
</calcChain>
</file>

<file path=xl/sharedStrings.xml><?xml version="1.0" encoding="utf-8"?>
<sst xmlns="http://schemas.openxmlformats.org/spreadsheetml/2006/main" count="786" uniqueCount="336">
  <si>
    <t>àæ àõóéí íýãæèéí íýð</t>
  </si>
  <si>
    <t>á¿òýýãäýõ¿¿íèé íýð</t>
  </si>
  <si>
    <t>õýìæèõ íýãæ</t>
  </si>
  <si>
    <t>ìÿí òºã</t>
  </si>
  <si>
    <t>ãóòàë</t>
  </si>
  <si>
    <t>òºìºð ýäëýë</t>
  </si>
  <si>
    <t>òîîñãî</t>
  </si>
  <si>
    <t>ø</t>
  </si>
  <si>
    <t>ìÿí ø</t>
  </si>
  <si>
    <t>òí</t>
  </si>
  <si>
    <t>Ä¯Í</t>
  </si>
  <si>
    <t>òàëõ</t>
  </si>
  <si>
    <t>íàðèéí áîîâ</t>
  </si>
  <si>
    <t>àðõè</t>
  </si>
  <si>
    <t>÷èõýð</t>
  </si>
  <si>
    <t>ìÿí ë</t>
  </si>
  <si>
    <t>ñîíèí</t>
  </si>
  <si>
    <t>1-ð ãóðèë</t>
  </si>
  <si>
    <t>2-ð ãóðèë</t>
  </si>
  <si>
    <t>õèâýã</t>
  </si>
  <si>
    <t>ìÿí òí</t>
  </si>
  <si>
    <t>í¿¿ðñ</t>
  </si>
  <si>
    <t>öàõèëãààí</t>
  </si>
  <si>
    <t>ç¿ñìýë</t>
  </si>
  <si>
    <t>ãóàëèí</t>
  </si>
  <si>
    <t>êóá ì</t>
  </si>
  <si>
    <t>óíäàà</t>
  </si>
  <si>
    <t>÷àöàðãàíû òîñ</t>
  </si>
  <si>
    <t>ø¿¿ñ</t>
  </si>
  <si>
    <t>àëüâàñòð</t>
  </si>
  <si>
    <t>êâ ì</t>
  </si>
  <si>
    <t>âàðåíü</t>
  </si>
  <si>
    <t>øîõîé</t>
  </si>
  <si>
    <t>õîñ</t>
  </si>
  <si>
    <t>ãýðèéí á¿ðýýñ</t>
  </si>
  <si>
    <t>õèàì</t>
  </si>
  <si>
    <t>êã</t>
  </si>
  <si>
    <t>ñèðîï</t>
  </si>
  <si>
    <t>àëò</t>
  </si>
  <si>
    <t>äýýë</t>
  </si>
  <si>
    <t>öàâàã</t>
  </si>
  <si>
    <t>ÕÝÀÀ</t>
  </si>
  <si>
    <t>ãóðèë</t>
  </si>
  <si>
    <t>ãýðèéí ìîä</t>
  </si>
  <si>
    <t>ìîäîí òàâèëãà</t>
  </si>
  <si>
    <t>ýñãèé</t>
  </si>
  <si>
    <t>ëàà</t>
  </si>
  <si>
    <t>ñàâàí</t>
  </si>
  <si>
    <t>òºìºð áåòîí</t>
  </si>
  <si>
    <t>Çýðýãö¿¿ëýõ ¿íýýð ¿íýëñýí ÍÁ</t>
  </si>
  <si>
    <t>Í¿¿ðñ îëáîðëîëò</t>
  </si>
  <si>
    <t>Õóâöàñ ¿éëäâýðëýëò</t>
  </si>
  <si>
    <t>Õýâëýõ ¿éë àæèëëàãàà</t>
  </si>
  <si>
    <t>Óñàí õàíãàìæ</t>
  </si>
  <si>
    <t>ìÿí ì</t>
  </si>
  <si>
    <t>¿éëäâýðëýñýí ãîë íýðèéí á¿òýýãäýõ¿¿í</t>
  </si>
  <si>
    <t>ä/ä</t>
  </si>
  <si>
    <t xml:space="preserve">çàðèì íýðèéí á¿òýýãäýõ¿¿í </t>
  </si>
  <si>
    <t>Õýìæèõ íýãæ</t>
  </si>
  <si>
    <t>Ãóðèë</t>
  </si>
  <si>
    <t>äóëààí</t>
  </si>
  <si>
    <t>ìÿí êâ ö</t>
  </si>
  <si>
    <t>ìîäîí ýäëýë</t>
  </si>
  <si>
    <t>ºëºí</t>
  </si>
  <si>
    <t>ìÿí ãîã</t>
  </si>
  <si>
    <t>À</t>
  </si>
  <si>
    <t>Â</t>
  </si>
  <si>
    <t>Ã</t>
  </si>
  <si>
    <t>Çàðèì ãîë íýðèéí á¿òýýãäýõ¿¿íèé ñóäàëãàà</t>
  </si>
  <si>
    <t xml:space="preserve"> </t>
  </si>
  <si>
    <t>íàðèéí áîîâ òí</t>
  </si>
  <si>
    <t xml:space="preserve">àðõè ìÿí ë </t>
  </si>
  <si>
    <t>àëò êã</t>
  </si>
  <si>
    <t>í¿¿ðñ ìÿí.òí</t>
  </si>
  <si>
    <t>öàõèëãààí ìÿí.êâò.öàã</t>
  </si>
  <si>
    <t>äóëààí ìÿí.ã.êàë</t>
  </si>
  <si>
    <t>куб м</t>
  </si>
  <si>
    <t>2005îíû çýðýãö¿¿ëýõ ¿íý</t>
  </si>
  <si>
    <t>ñóìäûí äèçåë</t>
  </si>
  <si>
    <t>Äóëààíû ñòàíö</t>
  </si>
  <si>
    <t>Äýâøèë óâñ</t>
  </si>
  <si>
    <t>ÑÑÒ-Îä ÕÕÊ</t>
  </si>
  <si>
    <t>Öîãò óâñ ÕÕÊ</t>
  </si>
  <si>
    <t>Ñîëîíãî òàëñò ÕÕÊ</t>
  </si>
  <si>
    <t>Õàð òàðâàãàòàé ÕÕÊ</t>
  </si>
  <si>
    <t>ìÿí êâò</t>
  </si>
  <si>
    <t>ìÿí ãêàë</t>
  </si>
  <si>
    <t>Ãóðèë ÕÊ</t>
  </si>
  <si>
    <t>òýæýýë</t>
  </si>
  <si>
    <t>Ìºíãºí áàð ÕÕÊ</t>
  </si>
  <si>
    <t>Õ¿ñíýãò ìàÿãò</t>
  </si>
  <si>
    <t>ìõäõ</t>
  </si>
  <si>
    <t>Óâñ - Õ¿íñ ÕÕÊ</t>
  </si>
  <si>
    <t>áîîâ</t>
  </si>
  <si>
    <t>èîäæóóëñàí äàâñ</t>
  </si>
  <si>
    <t>Ä¿í</t>
  </si>
  <si>
    <t>Õàðõèðààí öóóðàé</t>
  </si>
  <si>
    <t>õºíæèë</t>
  </si>
  <si>
    <t>Áààâàð ÕÕÊ</t>
  </si>
  <si>
    <t>ªíãºëºã òðåéä ÕÕÊ</t>
  </si>
  <si>
    <t>Ýðäýñ ÕÕÊ</t>
  </si>
  <si>
    <t>Ýíõìàíäàë ÕÕÊ</t>
  </si>
  <si>
    <t>×àíäìàíü Óâñ ÕÕÊ</t>
  </si>
  <si>
    <t>öýâýð óñ</t>
  </si>
  <si>
    <t>ì êóá ì</t>
  </si>
  <si>
    <t>Øèíý÷ëýë ÕÕÊ</t>
  </si>
  <si>
    <t>ªãººæ óíäðàë õîð</t>
  </si>
  <si>
    <t>Áýë áóëàã õîð</t>
  </si>
  <si>
    <t>Äàöàí òðåéä ÕÕÊ</t>
  </si>
  <si>
    <t>Óëààí íà÷èí ÕÕÊ</t>
  </si>
  <si>
    <t>æèâýðò õîðøîî</t>
  </si>
  <si>
    <t>óëààíãîì òîîñãî</t>
  </si>
  <si>
    <t>æàìï ÕÕÊ</t>
  </si>
  <si>
    <t>ÄÄ Óâñ</t>
  </si>
  <si>
    <t>Ø¿äýí óóë ÕÕÊ</t>
  </si>
  <si>
    <t>äàâñ îëáîðëîëò</t>
  </si>
  <si>
    <t>Àëòàí øàíàíãà ÕÕÊ</t>
  </si>
  <si>
    <t>Àðèóí òàë õîðøîî</t>
  </si>
  <si>
    <t>õî¸ð çýýðýí õîð</t>
  </si>
  <si>
    <t>Õºãæèë óâñ</t>
  </si>
  <si>
    <t>Ç¿¿íòóðóóí ÕÕÊ</t>
  </si>
  <si>
    <t>Æèíñò</t>
  </si>
  <si>
    <t>Óñæóóëàõ ÕÕÊ</t>
  </si>
  <si>
    <t>áàíç</t>
  </si>
  <si>
    <t>ªìíºãîâü õîðøîî</t>
  </si>
  <si>
    <t>Õ¿äýíãèéí óóðõàé</t>
  </si>
  <si>
    <t>Ìºíãºí òîâ÷</t>
  </si>
  <si>
    <t>òºìðèéí ç¿éë</t>
  </si>
  <si>
    <t>Ãóòàë õîðøîî</t>
  </si>
  <si>
    <t>áóñàä</t>
  </si>
  <si>
    <t>¯éë÷èí õîðøîî</t>
  </si>
  <si>
    <t>êîñòþì ïèäæàê</t>
  </si>
  <si>
    <t>ýì õîñ</t>
  </si>
  <si>
    <t>ñàâõèí êóðòê</t>
  </si>
  <si>
    <t>àæëûí õàëàò</t>
  </si>
  <si>
    <t xml:space="preserve">äýýë </t>
  </si>
  <si>
    <t>ìàëãàé</t>
  </si>
  <si>
    <t>Õàã ÕÕÊ</t>
  </si>
  <si>
    <t>Õèéö ÕÕÊ</t>
  </si>
  <si>
    <t>õýð÷ñýí ãóðèë</t>
  </si>
  <si>
    <t>òàðàã</t>
  </si>
  <si>
    <t>æ¿¿ñ</t>
  </si>
  <si>
    <t>õºøèã</t>
  </si>
  <si>
    <t>×àíäìàíü óðëàã õîð</t>
  </si>
  <si>
    <t>Ñåðïëèç õîð</t>
  </si>
  <si>
    <t>Øèìòýé óâñ õîð</t>
  </si>
  <si>
    <t>ñàëàò</t>
  </si>
  <si>
    <t>Ýñãèé ÕÕÊ</t>
  </si>
  <si>
    <t xml:space="preserve">ýñãèé </t>
  </si>
  <si>
    <t>Ýíýðýë ºãººæ</t>
  </si>
  <si>
    <t>çàéðìàã</t>
  </si>
  <si>
    <t>Îòãîí ó÷èã õîð</t>
  </si>
  <si>
    <t>ýì õîñëîë</t>
  </si>
  <si>
    <t>ýð õîñëîë</t>
  </si>
  <si>
    <t>ñàâõèí êóðòêà</t>
  </si>
  <si>
    <t>¿ñëýã õóâöàñ</t>
  </si>
  <si>
    <t>ïàëüòî</t>
  </si>
  <si>
    <t>ä¿í</t>
  </si>
  <si>
    <t>Äºðâºí áóëàã-óâñ</t>
  </si>
  <si>
    <t>áóëèãàð</t>
  </si>
  <si>
    <t>øåâðî</t>
  </si>
  <si>
    <t>õºõ øèð</t>
  </si>
  <si>
    <t>Ìºíãºò õîðøîî</t>
  </si>
  <si>
    <t>øàëíû áàíç</t>
  </si>
  <si>
    <t>êâàñ</t>
  </si>
  <si>
    <t>Óëààí õîòãîð</t>
  </si>
  <si>
    <t>Ãóðâàí áóëàã õîð</t>
  </si>
  <si>
    <t>Ìîí ñèâ àëò ÕÕÊ</t>
  </si>
  <si>
    <t>Äýëãýð õÿðãàñ õîð</t>
  </si>
  <si>
    <t>Ìÿíãàí óíäðàà</t>
  </si>
  <si>
    <t>Òîñò óóë</t>
  </si>
  <si>
    <t>Øàä òðåéä ÕÊ</t>
  </si>
  <si>
    <t>çàìûí õàâòàí</t>
  </si>
  <si>
    <t>Öàâäàí èìïåêñ ÕÕÊ</t>
  </si>
  <si>
    <t>Äàõèëò õîðøîî</t>
  </si>
  <si>
    <t>çàéñàí ñàëàà</t>
  </si>
  <si>
    <t>Çýë ãîâü ÕÕÊ</t>
  </si>
  <si>
    <t>Áàðóóíçàãâàð</t>
  </si>
  <si>
    <t>Òîì ãóòàë</t>
  </si>
  <si>
    <t>òîì áîòèíê</t>
  </si>
  <si>
    <t>õ¿¿ ãóòàë</t>
  </si>
  <si>
    <t>õ¿¿ áîòèíê</t>
  </si>
  <si>
    <t>Øóäðàãà óóë ÕÕÊ</t>
  </si>
  <si>
    <t>Õ¿ðä îðãèë ÕÕÊ</t>
  </si>
  <si>
    <t>Ýíåðæè ôëîó ÕÕÊ</t>
  </si>
  <si>
    <t>Í¿õòýé õàâòàí</t>
  </si>
  <si>
    <t>èíãýíèé õîîðìîã</t>
  </si>
  <si>
    <t>ªëçèé óÿíãà õîðøîî</t>
  </si>
  <si>
    <t>Èæèë õàéðõàí</t>
  </si>
  <si>
    <t xml:space="preserve">âàêóì öîíõ </t>
  </si>
  <si>
    <t>Áóì íîìèí ÕÕÊ</t>
  </si>
  <si>
    <t>Òîîñãîí óóë ÕÕÊ</t>
  </si>
  <si>
    <t>Óñ ýðäýíý ÕÕÊ</t>
  </si>
  <si>
    <t xml:space="preserve">÷àöàðãàíû òîñ </t>
  </si>
  <si>
    <t>Âîñòåð ÕÕÊ</t>
  </si>
  <si>
    <t>âàêóì öîíõ</t>
  </si>
  <si>
    <t>¿õðèéí ìàõ</t>
  </si>
  <si>
    <t>Ìîí òóâà ÕÕÊ</t>
  </si>
  <si>
    <t>àäóóíû ìàõ</t>
  </si>
  <si>
    <t>Æàñò àãðî ÕÕÊ</t>
  </si>
  <si>
    <t>÷àöàðãàíû ø¿¿ñ</t>
  </si>
  <si>
    <t xml:space="preserve">ºìäíèé òºëºº </t>
  </si>
  <si>
    <t>ò¿ëõ¿¿ðèéí îîñîð</t>
  </si>
  <si>
    <t>¹</t>
  </si>
  <si>
    <t>Ñàëáàðûí àíãèëàë</t>
  </si>
  <si>
    <t xml:space="preserve">                       2005 îíû çýðýãö¿¿ëýõ ¿íýýð</t>
  </si>
  <si>
    <t>Öàõèëãààí äóëààí</t>
  </si>
  <si>
    <t>ò¿ãýýëò</t>
  </si>
  <si>
    <t>¿¿íýýñ: öàõèëãààí</t>
  </si>
  <si>
    <t xml:space="preserve">            äóëààí</t>
  </si>
  <si>
    <t>Àëò</t>
  </si>
  <si>
    <t>îëáîðëîëò</t>
  </si>
  <si>
    <t xml:space="preserve">Õ¿íñ óíäàà </t>
  </si>
  <si>
    <t>¿éëäâýðëýëò</t>
  </si>
  <si>
    <t>¿¿íýýñ: ìàõ çàãàñ</t>
  </si>
  <si>
    <t xml:space="preserve">    ñ¿¿ ñ¿¿í á¿ò/í</t>
  </si>
  <si>
    <t xml:space="preserve">  ãóðèë ãóðèëàí á¿òýýãäýõ¿¿í</t>
  </si>
  <si>
    <t xml:space="preserve">   óíäàà àðõè</t>
  </si>
  <si>
    <t xml:space="preserve">   õ¿íñíèé áóñàä</t>
  </si>
  <si>
    <t>Íýõìýëèéí</t>
  </si>
  <si>
    <t>Ìîä ìîäîí á¿ò</t>
  </si>
  <si>
    <t>Áóñàä áîëîâñðóóëàõ</t>
  </si>
  <si>
    <t>àæ ¿éëäâýð</t>
  </si>
  <si>
    <t xml:space="preserve">      Ä     ¯    Í</t>
  </si>
  <si>
    <t>Áàðèëãûí ìàòåðèàëûí</t>
  </si>
  <si>
    <t>¿éëäâýðëýë</t>
  </si>
  <si>
    <t>2005 îíû çýðýãö¿¿ëýõ ¿íýýð</t>
  </si>
  <si>
    <t>õóâèéí æèí</t>
  </si>
  <si>
    <t>Äýëãýðõàíàé õîð</t>
  </si>
  <si>
    <t>Àÿí ç¿éòýé õîðøîî</t>
  </si>
  <si>
    <t xml:space="preserve"> ÍÈÉÒ Á¯ÒÝÝÃÄÝÕ¯¯Í ¯ÉËÄÂÝÐËÝËÒ /ñàÿ òºã/</t>
  </si>
  <si>
    <t>Íèéò á¿òýýãäýõ¿¿íèé ¿éëäâýðëýëò / ñàÿ òºã/</t>
  </si>
  <si>
    <t>ÍÁ /ñàÿ òºã/</t>
  </si>
  <si>
    <t>õàð òàðâàãàòàéí óóðõàé</t>
  </si>
  <si>
    <t>Àëòàí øàíàãà ÕÕÊ</t>
  </si>
  <si>
    <t>Ñåðïëèç ÕÕÊ</t>
  </si>
  <si>
    <t>Õºäºëìºðèéí á¿òýýìæ /ñàÿ òºã/</t>
  </si>
  <si>
    <t>Óóë óóðõàé îëáîðëîëò</t>
  </si>
  <si>
    <t>Áîëîâñðóóëàõ ¿éëäâýð</t>
  </si>
  <si>
    <t>Íèéò á¿òýýãäýõ¿¿í  /2005 îíû çýðýãö¿¿ëýõ ¿íýýð, ñàÿ òºãðºã/</t>
  </si>
  <si>
    <t>Íèéò á¿òýýãäýõ¿¿í</t>
  </si>
  <si>
    <t>¯¿íýýñ: Õ¿íñ óíäààíû ¿éëäâýðëýë</t>
  </si>
  <si>
    <t xml:space="preserve">                õóâöàñ ¿éëäâýðëýë</t>
  </si>
  <si>
    <t xml:space="preserve">                ìîä ìîäîí á¿òýýãäýõ¿¿íèé </t>
  </si>
  <si>
    <t xml:space="preserve">                ¿éëäâýðëýë</t>
  </si>
  <si>
    <t xml:space="preserve">                Áàðèëãûí ìàòåðèàëûí</t>
  </si>
  <si>
    <t xml:space="preserve">                àðüñ øèð ãóòëûí ¿éëäâýðëýë</t>
  </si>
  <si>
    <t xml:space="preserve">                ºëºí áîëîâñðóóëàëò</t>
  </si>
  <si>
    <t xml:space="preserve">               õýâëýõ ¿éëäâýð</t>
  </si>
  <si>
    <t xml:space="preserve">               áóñàä áîëîâñðóóëàõ ¿éëäâýðëýë</t>
  </si>
  <si>
    <t>Öàõèëãààí äóëààí,óñàí õàíãàìæ</t>
  </si>
  <si>
    <t xml:space="preserve">                Õ¿íñ óíäààíû ¿éëäâýðëýë</t>
  </si>
  <si>
    <t xml:space="preserve">                ìîä ìîäîí á¿òýýãäýõ¿¿í</t>
  </si>
  <si>
    <t xml:space="preserve">                Áàðèëãûí ìàòåðèàë</t>
  </si>
  <si>
    <t>àæèëëàãñäûí òîî</t>
  </si>
  <si>
    <t>Íèéò á¿òýýãäýõ¿¿í /ñàÿ òºã/</t>
  </si>
  <si>
    <t>õºäºëìºðèéí á¿òýýìæ /ñàÿ òºã/</t>
  </si>
  <si>
    <t>2010/1940</t>
  </si>
  <si>
    <t>2010/1990</t>
  </si>
  <si>
    <t>цахилгаан</t>
  </si>
  <si>
    <t>дулаан</t>
  </si>
  <si>
    <t>хүнс ундааны үйлдвэрлэлт</t>
  </si>
  <si>
    <t>хувцас үйлдвэрлэл</t>
  </si>
  <si>
    <t>бусад боловсруулах үйлдвэр</t>
  </si>
  <si>
    <t>усан хангамж</t>
  </si>
  <si>
    <t>хөдөлмөрийн бүтээмж /сая төг/</t>
  </si>
  <si>
    <t>Цахилгаан дулаан усан хангамж</t>
  </si>
  <si>
    <t>уул уурхай олборлолт</t>
  </si>
  <si>
    <t>хүнс ундааны үйлдвэрлэл</t>
  </si>
  <si>
    <t>мод модон бүтээгдэхүүний үйлдвэрлэл</t>
  </si>
  <si>
    <t>барилгын материалын үйлдвэрлэл</t>
  </si>
  <si>
    <t>арьс шир гутлын үйлдвэрлэл</t>
  </si>
  <si>
    <t>өлөн болосруулалт</t>
  </si>
  <si>
    <t>хэвлэх үйлдвэрлэл</t>
  </si>
  <si>
    <t>бусад боловсруулах үйлдвэрл</t>
  </si>
  <si>
    <t>Бүгд</t>
  </si>
  <si>
    <t xml:space="preserve">                                    Ажиллагсдын салбарын бүтэц </t>
  </si>
  <si>
    <t>цахилгаан дулаан</t>
  </si>
  <si>
    <t>түгээлт, усан хангамж</t>
  </si>
  <si>
    <t>үүнээс: цахилгаан</t>
  </si>
  <si>
    <t>нүүрс олборлолт</t>
  </si>
  <si>
    <t>алт олборлолт</t>
  </si>
  <si>
    <t>боловсруулах үйлдвэр</t>
  </si>
  <si>
    <t>3а. Хүнс ундааны                      үйлдвэрлэл</t>
  </si>
  <si>
    <t xml:space="preserve">        үүнээс мах загам</t>
  </si>
  <si>
    <t xml:space="preserve">                     сүү сүүн бүт/үүн</t>
  </si>
  <si>
    <t xml:space="preserve">                 гурил гурилан бүтээг</t>
  </si>
  <si>
    <t xml:space="preserve">                  ундаа архи</t>
  </si>
  <si>
    <t xml:space="preserve">                  хүнсний бусад</t>
  </si>
  <si>
    <t>3б. Бусад боловсруулах үйлвэрлэл</t>
  </si>
  <si>
    <t xml:space="preserve">      үүнээс: хувцас үйлдвэр</t>
  </si>
  <si>
    <t xml:space="preserve">              мод модон бүт/үүний</t>
  </si>
  <si>
    <t xml:space="preserve">              үйлдвэрлэл</t>
  </si>
  <si>
    <t xml:space="preserve">              барилгын материалын</t>
  </si>
  <si>
    <t xml:space="preserve">             арьс ширны үйлд/лэл</t>
  </si>
  <si>
    <t xml:space="preserve">             өлөн боловсруулалт</t>
  </si>
  <si>
    <t xml:space="preserve">             хэвлэх үйлдвэрлэл</t>
  </si>
  <si>
    <t xml:space="preserve">            бусад боловсруулалт</t>
  </si>
  <si>
    <t xml:space="preserve"> Бүгд</t>
  </si>
  <si>
    <t>харцуулсан хувь</t>
  </si>
  <si>
    <t>хувь</t>
  </si>
  <si>
    <t>Нийт бүтээгдэхүүн /2005 оны зэрэгцүүлсэн үнээр, сая төг/</t>
  </si>
  <si>
    <t>Нийт бүтээгдэхүүн</t>
  </si>
  <si>
    <t>цахилгаан дулаан, усан хангамж</t>
  </si>
  <si>
    <t>Уул уурхай олборлолт</t>
  </si>
  <si>
    <t>Боловсруулах үйлдвэр</t>
  </si>
  <si>
    <t>нийт бүтээгдэхүүн</t>
  </si>
  <si>
    <t>Нийт бүтээгдэхүүн /2005 оны зэрэгцүүлэх үнээр, сая төгрөг/</t>
  </si>
  <si>
    <t>Нийт бүтээгдэхүүн  /2005 оны зэрэгцүүлэх үнээр, харьцуулсан хувь/</t>
  </si>
  <si>
    <t>уул уурхай олборлот</t>
  </si>
  <si>
    <t>дүн</t>
  </si>
  <si>
    <t>Нийт бүтээгдэхүүн /2005 оны зэрэгцүүлэх үнээр, бүтэц/</t>
  </si>
  <si>
    <t>ажиллагсдын тоо</t>
  </si>
  <si>
    <t>НБ</t>
  </si>
  <si>
    <t>ажил/сад</t>
  </si>
  <si>
    <t>хөд /бүт</t>
  </si>
  <si>
    <t>Àæèëëàñäûí òîî á¿òöýýð /1940,1990,2012, 2014 îí/</t>
  </si>
  <si>
    <t>бүгд</t>
  </si>
  <si>
    <t>дд</t>
  </si>
  <si>
    <t>Нийт бүтээгдэхүүн / 2005 оны зэрэгцүүлэх үнээр  /сая төг/</t>
  </si>
  <si>
    <t xml:space="preserve">        үүнээс мах загас</t>
  </si>
  <si>
    <t>Аймаг</t>
  </si>
  <si>
    <t xml:space="preserve">      Увс</t>
  </si>
  <si>
    <t>сая.төг</t>
  </si>
  <si>
    <t>уул уурхай</t>
  </si>
  <si>
    <t>боловсруулах</t>
  </si>
  <si>
    <t xml:space="preserve">АЖ ҮЙЛДВЭРИЙН САЛБАРЫН БҮТЭЭГДЭХҮҮНИЙ ҮЙЛДВЭРЛЭЛТ, оны үнээр
</t>
  </si>
  <si>
    <t xml:space="preserve">АЖ ҮЙЛДВЭРИЙН САЛБАРЫН БҮТЭЭГДЭХҮҮНИЙ БОРЛУУЛАЛТ, оны үнээр
</t>
  </si>
  <si>
    <t>мян.гог</t>
  </si>
  <si>
    <t>мян.г кал</t>
  </si>
  <si>
    <t>НБ дүн</t>
  </si>
  <si>
    <t>2005 оны зэр үнэ</t>
  </si>
  <si>
    <t>дулаан,цахилгаан</t>
  </si>
  <si>
    <t>2000 оны зэр үнэ</t>
  </si>
  <si>
    <t>1995 оны зэр үнэ</t>
  </si>
  <si>
    <t>усан хангамж, хог зайлуулалт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</si>
</sst>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"/>
    <numFmt numFmtId="165" formatCode="0.0000"/>
    <numFmt numFmtId="166" formatCode="#,##0.##"/>
    <numFmt numFmtId="167" formatCode="_(* #,##0.0_);_(* \(#,##0.0\);_(* &quot;-&quot;??_);_(@_)"/>
    <numFmt numFmtId="168" formatCode="#,##0.0"/>
  </numFmts>
  <fonts count="26" x14ac:knownFonts="1">
    <font>
      <sz val="10"/>
      <name val="Arial Mon"/>
    </font>
    <font>
      <sz val="8"/>
      <name val="Arial Mon"/>
      <family val="2"/>
    </font>
    <font>
      <sz val="6"/>
      <name val="Arial Mon"/>
      <family val="2"/>
    </font>
    <font>
      <sz val="7"/>
      <name val="Arial Mon"/>
      <family val="2"/>
    </font>
    <font>
      <sz val="8"/>
      <name val="Arial Mon"/>
      <family val="2"/>
    </font>
    <font>
      <sz val="8"/>
      <color indexed="10"/>
      <name val="Arial Mon"/>
      <family val="2"/>
    </font>
    <font>
      <sz val="8"/>
      <color indexed="15"/>
      <name val="Arial Mon"/>
      <family val="2"/>
    </font>
    <font>
      <sz val="10"/>
      <name val="Arial Mon"/>
      <family val="2"/>
    </font>
    <font>
      <sz val="9"/>
      <name val="Arial Mon"/>
      <family val="2"/>
    </font>
    <font>
      <u/>
      <sz val="8"/>
      <name val="Arial Mon"/>
      <family val="2"/>
    </font>
    <font>
      <sz val="8"/>
      <color rgb="FFFF0000"/>
      <name val="Arial Mo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8"/>
      <name val="AGBengaly Mon"/>
    </font>
    <font>
      <b/>
      <sz val="13"/>
      <color rgb="FF000000"/>
      <name val="Calibri"/>
      <family val="2"/>
    </font>
    <font>
      <sz val="10"/>
      <name val="Arial Mon"/>
    </font>
    <font>
      <b/>
      <sz val="14"/>
      <color rgb="FF000000"/>
      <name val="Calibri"/>
      <family val="2"/>
    </font>
    <font>
      <sz val="14"/>
      <name val="Arial Mon"/>
      <family val="2"/>
    </font>
    <font>
      <b/>
      <sz val="12"/>
      <color rgb="FF000000"/>
      <name val="Calibri"/>
      <family val="2"/>
    </font>
    <font>
      <sz val="12"/>
      <name val="Arial Mon"/>
      <family val="2"/>
    </font>
    <font>
      <sz val="12"/>
      <color rgb="FF000000"/>
      <name val="Calibri"/>
      <family val="2"/>
    </font>
    <font>
      <b/>
      <sz val="12"/>
      <name val="Arial Mon"/>
      <family val="2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0" fillId="0" borderId="0" xfId="0" applyBorder="1" applyAlignment="1">
      <alignment horizontal="center" textRotation="90" wrapText="1"/>
    </xf>
    <xf numFmtId="0" fontId="1" fillId="0" borderId="0" xfId="0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0" xfId="0" applyBorder="1" applyAlignment="1">
      <alignment textRotation="90" wrapText="1"/>
    </xf>
    <xf numFmtId="0" fontId="0" fillId="0" borderId="0" xfId="0" applyAlignment="1">
      <alignment textRotation="90"/>
    </xf>
    <xf numFmtId="0" fontId="3" fillId="0" borderId="0" xfId="0" applyFont="1" applyFill="1" applyBorder="1"/>
    <xf numFmtId="0" fontId="0" fillId="0" borderId="0" xfId="0" applyBorder="1" applyAlignment="1">
      <alignment vertical="center" wrapText="1"/>
    </xf>
    <xf numFmtId="0" fontId="0" fillId="2" borderId="0" xfId="0" applyFill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textRotation="90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3" borderId="0" xfId="0" applyFont="1" applyFill="1"/>
    <xf numFmtId="0" fontId="4" fillId="3" borderId="0" xfId="0" applyFont="1" applyFill="1"/>
    <xf numFmtId="0" fontId="5" fillId="0" borderId="0" xfId="0" applyFont="1"/>
    <xf numFmtId="0" fontId="4" fillId="2" borderId="0" xfId="0" applyFont="1" applyFill="1"/>
    <xf numFmtId="0" fontId="6" fillId="2" borderId="0" xfId="0" applyFont="1" applyFill="1"/>
    <xf numFmtId="164" fontId="4" fillId="0" borderId="0" xfId="0" applyNumberFormat="1" applyFont="1"/>
    <xf numFmtId="0" fontId="7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0" xfId="0" applyFont="1"/>
    <xf numFmtId="0" fontId="0" fillId="0" borderId="0" xfId="0" applyAlignment="1">
      <alignment vertic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164" fontId="1" fillId="0" borderId="0" xfId="0" applyNumberFormat="1" applyFont="1" applyAlignment="1"/>
    <xf numFmtId="164" fontId="0" fillId="0" borderId="0" xfId="0" applyNumberFormat="1" applyAlignment="1"/>
    <xf numFmtId="165" fontId="1" fillId="0" borderId="0" xfId="0" applyNumberFormat="1" applyFont="1"/>
    <xf numFmtId="164" fontId="8" fillId="0" borderId="0" xfId="0" applyNumberFormat="1" applyFont="1"/>
    <xf numFmtId="164" fontId="2" fillId="0" borderId="0" xfId="0" applyNumberFormat="1" applyFont="1"/>
    <xf numFmtId="0" fontId="2" fillId="0" borderId="0" xfId="0" applyFont="1" applyBorder="1" applyAlignment="1">
      <alignment horizontal="center"/>
    </xf>
    <xf numFmtId="164" fontId="3" fillId="0" borderId="0" xfId="0" applyNumberFormat="1" applyFont="1"/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vertical="center"/>
    </xf>
    <xf numFmtId="0" fontId="9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0" fontId="0" fillId="0" borderId="1" xfId="0" applyBorder="1"/>
    <xf numFmtId="0" fontId="10" fillId="0" borderId="0" xfId="0" applyFont="1" applyAlignment="1"/>
    <xf numFmtId="164" fontId="10" fillId="0" borderId="0" xfId="0" applyNumberFormat="1" applyFont="1" applyAlignment="1"/>
    <xf numFmtId="0" fontId="10" fillId="0" borderId="0" xfId="0" applyFont="1"/>
    <xf numFmtId="164" fontId="10" fillId="0" borderId="0" xfId="0" applyNumberFormat="1" applyFont="1"/>
    <xf numFmtId="0" fontId="9" fillId="0" borderId="0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6" xfId="0" applyBorder="1"/>
    <xf numFmtId="0" fontId="0" fillId="0" borderId="8" xfId="0" applyBorder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2" fontId="2" fillId="0" borderId="0" xfId="0" applyNumberFormat="1" applyFont="1"/>
    <xf numFmtId="164" fontId="1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13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/>
    <xf numFmtId="164" fontId="15" fillId="0" borderId="0" xfId="0" applyNumberFormat="1" applyFont="1" applyAlignment="1">
      <alignment horizontal="center"/>
    </xf>
    <xf numFmtId="164" fontId="15" fillId="0" borderId="0" xfId="0" applyNumberFormat="1" applyFont="1"/>
    <xf numFmtId="0" fontId="15" fillId="0" borderId="0" xfId="0" applyFont="1"/>
    <xf numFmtId="0" fontId="15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64" fontId="12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textRotation="90" wrapText="1"/>
    </xf>
    <xf numFmtId="164" fontId="1" fillId="0" borderId="0" xfId="0" applyNumberFormat="1" applyFont="1" applyAlignment="1">
      <alignment horizontal="right"/>
    </xf>
    <xf numFmtId="0" fontId="0" fillId="0" borderId="1" xfId="0" applyBorder="1" applyAlignment="1">
      <alignment horizontal="center" textRotation="90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Fill="1" applyBorder="1" applyAlignment="1">
      <alignment horizontal="center" textRotation="90" wrapText="1"/>
    </xf>
    <xf numFmtId="0" fontId="0" fillId="0" borderId="2" xfId="0" applyBorder="1" applyAlignment="1">
      <alignment horizontal="center" textRotation="90" wrapText="1"/>
    </xf>
    <xf numFmtId="0" fontId="8" fillId="0" borderId="1" xfId="0" applyFont="1" applyBorder="1" applyAlignment="1">
      <alignment horizontal="center" textRotation="90"/>
    </xf>
    <xf numFmtId="0" fontId="8" fillId="0" borderId="1" xfId="0" applyFont="1" applyFill="1" applyBorder="1" applyAlignment="1">
      <alignment horizontal="center" textRotation="90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textRotation="90"/>
    </xf>
    <xf numFmtId="0" fontId="7" fillId="0" borderId="1" xfId="0" applyFont="1" applyFill="1" applyBorder="1" applyAlignment="1">
      <alignment horizontal="center" textRotation="90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textRotation="90" wrapText="1"/>
    </xf>
    <xf numFmtId="0" fontId="3" fillId="0" borderId="1" xfId="0" applyFont="1" applyBorder="1" applyAlignment="1">
      <alignment horizontal="center" textRotation="90"/>
    </xf>
    <xf numFmtId="0" fontId="3" fillId="0" borderId="1" xfId="0" applyFont="1" applyFill="1" applyBorder="1" applyAlignment="1">
      <alignment horizontal="center" textRotation="90"/>
    </xf>
    <xf numFmtId="0" fontId="2" fillId="0" borderId="0" xfId="0" applyFont="1" applyAlignment="1">
      <alignment horizontal="center"/>
    </xf>
    <xf numFmtId="0" fontId="1" fillId="0" borderId="6" xfId="0" applyFont="1" applyFill="1" applyBorder="1"/>
    <xf numFmtId="0" fontId="0" fillId="0" borderId="1" xfId="0" applyBorder="1" applyAlignment="1">
      <alignment horizontal="center" textRotation="90" wrapText="1"/>
    </xf>
    <xf numFmtId="0" fontId="0" fillId="0" borderId="11" xfId="0" applyBorder="1"/>
    <xf numFmtId="0" fontId="1" fillId="0" borderId="5" xfId="0" applyFont="1" applyFill="1" applyBorder="1"/>
    <xf numFmtId="0" fontId="0" fillId="0" borderId="1" xfId="0" applyBorder="1" applyAlignment="1">
      <alignment textRotation="90"/>
    </xf>
    <xf numFmtId="0" fontId="15" fillId="4" borderId="1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1" fillId="4" borderId="11" xfId="0" applyFont="1" applyFill="1" applyBorder="1"/>
    <xf numFmtId="0" fontId="0" fillId="4" borderId="11" xfId="0" applyFill="1" applyBorder="1"/>
    <xf numFmtId="0" fontId="1" fillId="4" borderId="11" xfId="0" applyFont="1" applyFill="1" applyBorder="1" applyAlignment="1">
      <alignment horizontal="center"/>
    </xf>
    <xf numFmtId="0" fontId="0" fillId="0" borderId="0" xfId="0" applyNumberFormat="1" applyFill="1" applyAlignment="1" applyProtection="1"/>
    <xf numFmtId="0" fontId="7" fillId="0" borderId="0" xfId="0" applyNumberFormat="1" applyFont="1" applyFill="1" applyAlignment="1" applyProtection="1"/>
    <xf numFmtId="0" fontId="0" fillId="0" borderId="0" xfId="0" applyNumberFormat="1" applyFill="1" applyBorder="1" applyAlignment="1" applyProtection="1">
      <alignment horizontal="left"/>
    </xf>
    <xf numFmtId="166" fontId="0" fillId="0" borderId="0" xfId="0" applyNumberFormat="1" applyFill="1" applyBorder="1" applyAlignment="1" applyProtection="1">
      <alignment horizontal="right"/>
    </xf>
    <xf numFmtId="0" fontId="18" fillId="0" borderId="0" xfId="0" applyNumberFormat="1" applyFont="1" applyFill="1" applyAlignment="1" applyProtection="1">
      <alignment horizontal="center" wrapText="1"/>
    </xf>
    <xf numFmtId="0" fontId="8" fillId="0" borderId="3" xfId="0" applyFont="1" applyFill="1" applyBorder="1" applyAlignment="1">
      <alignment horizontal="center" textRotation="90"/>
    </xf>
    <xf numFmtId="0" fontId="7" fillId="0" borderId="3" xfId="0" applyFont="1" applyFill="1" applyBorder="1" applyAlignment="1">
      <alignment horizontal="center" textRotation="90"/>
    </xf>
    <xf numFmtId="0" fontId="3" fillId="0" borderId="0" xfId="0" applyFont="1" applyBorder="1" applyAlignment="1"/>
    <xf numFmtId="0" fontId="0" fillId="0" borderId="0" xfId="0" applyNumberFormat="1" applyFill="1" applyBorder="1" applyAlignment="1" applyProtection="1"/>
    <xf numFmtId="166" fontId="0" fillId="0" borderId="0" xfId="0" applyNumberFormat="1" applyFill="1" applyBorder="1" applyAlignment="1" applyProtection="1">
      <alignment horizontal="right" wrapText="1"/>
    </xf>
    <xf numFmtId="168" fontId="0" fillId="0" borderId="0" xfId="0" applyNumberFormat="1"/>
    <xf numFmtId="166" fontId="7" fillId="0" borderId="0" xfId="0" applyNumberFormat="1" applyFont="1" applyFill="1" applyBorder="1" applyAlignment="1" applyProtection="1">
      <alignment horizontal="right" wrapText="1"/>
    </xf>
    <xf numFmtId="0" fontId="20" fillId="4" borderId="13" xfId="0" applyNumberFormat="1" applyFont="1" applyFill="1" applyBorder="1" applyAlignment="1" applyProtection="1">
      <alignment horizontal="center" vertical="center" wrapText="1"/>
    </xf>
    <xf numFmtId="0" fontId="20" fillId="4" borderId="15" xfId="0" applyNumberFormat="1" applyFont="1" applyFill="1" applyBorder="1" applyAlignment="1" applyProtection="1">
      <alignment horizontal="center" vertical="center" wrapText="1"/>
    </xf>
    <xf numFmtId="0" fontId="20" fillId="4" borderId="1" xfId="0" applyNumberFormat="1" applyFont="1" applyFill="1" applyBorder="1" applyAlignment="1" applyProtection="1">
      <alignment horizontal="center" vertical="center" wrapText="1"/>
    </xf>
    <xf numFmtId="0" fontId="21" fillId="4" borderId="0" xfId="0" applyNumberFormat="1" applyFont="1" applyFill="1" applyAlignment="1" applyProtection="1">
      <alignment vertical="center"/>
    </xf>
    <xf numFmtId="0" fontId="24" fillId="0" borderId="0" xfId="0" applyNumberFormat="1" applyFont="1" applyFill="1" applyAlignment="1" applyProtection="1">
      <alignment horizontal="center" wrapText="1"/>
    </xf>
    <xf numFmtId="0" fontId="23" fillId="0" borderId="0" xfId="0" applyNumberFormat="1" applyFont="1" applyFill="1" applyAlignment="1" applyProtection="1"/>
    <xf numFmtId="0" fontId="22" fillId="0" borderId="0" xfId="0" applyNumberFormat="1" applyFont="1" applyFill="1" applyAlignment="1" applyProtection="1">
      <alignment horizontal="center" wrapText="1"/>
    </xf>
    <xf numFmtId="166" fontId="23" fillId="0" borderId="0" xfId="0" applyNumberFormat="1" applyFont="1" applyFill="1" applyBorder="1" applyAlignment="1" applyProtection="1">
      <alignment horizontal="right" wrapText="1"/>
    </xf>
    <xf numFmtId="0" fontId="22" fillId="0" borderId="0" xfId="0" applyNumberFormat="1" applyFont="1" applyFill="1" applyAlignment="1" applyProtection="1">
      <alignment vertical="center" wrapText="1"/>
    </xf>
    <xf numFmtId="164" fontId="25" fillId="0" borderId="0" xfId="0" applyNumberFormat="1" applyFont="1" applyFill="1" applyBorder="1" applyAlignment="1" applyProtection="1">
      <alignment vertical="center"/>
    </xf>
    <xf numFmtId="164" fontId="25" fillId="0" borderId="0" xfId="0" applyNumberFormat="1" applyFont="1" applyFill="1" applyBorder="1" applyAlignment="1" applyProtection="1">
      <alignment vertical="center" wrapText="1"/>
    </xf>
    <xf numFmtId="166" fontId="25" fillId="0" borderId="0" xfId="0" applyNumberFormat="1" applyFont="1" applyFill="1" applyBorder="1" applyAlignment="1" applyProtection="1">
      <alignment vertical="center"/>
    </xf>
    <xf numFmtId="0" fontId="25" fillId="0" borderId="0" xfId="0" applyNumberFormat="1" applyFont="1" applyFill="1" applyAlignment="1" applyProtection="1">
      <alignment vertical="center"/>
    </xf>
    <xf numFmtId="0" fontId="25" fillId="0" borderId="13" xfId="0" applyNumberFormat="1" applyFont="1" applyFill="1" applyBorder="1" applyAlignment="1" applyProtection="1">
      <alignment horizontal="left" vertical="center"/>
    </xf>
    <xf numFmtId="166" fontId="25" fillId="0" borderId="13" xfId="0" applyNumberFormat="1" applyFont="1" applyFill="1" applyBorder="1" applyAlignment="1" applyProtection="1">
      <alignment horizontal="right" vertical="center"/>
    </xf>
    <xf numFmtId="166" fontId="25" fillId="0" borderId="15" xfId="0" applyNumberFormat="1" applyFont="1" applyFill="1" applyBorder="1" applyAlignment="1" applyProtection="1">
      <alignment horizontal="right" vertical="center"/>
    </xf>
    <xf numFmtId="166" fontId="25" fillId="0" borderId="1" xfId="0" applyNumberFormat="1" applyFont="1" applyFill="1" applyBorder="1" applyAlignment="1" applyProtection="1">
      <alignment horizontal="right" vertical="center"/>
    </xf>
    <xf numFmtId="167" fontId="25" fillId="0" borderId="1" xfId="1" applyNumberFormat="1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center" textRotation="90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textRotation="9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right"/>
    </xf>
    <xf numFmtId="0" fontId="13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right"/>
    </xf>
    <xf numFmtId="0" fontId="13" fillId="0" borderId="11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12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1" fillId="0" borderId="11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9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textRotation="90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textRotation="90" wrapText="1"/>
    </xf>
    <xf numFmtId="0" fontId="4" fillId="0" borderId="4" xfId="0" applyFont="1" applyBorder="1" applyAlignment="1">
      <alignment horizontal="center" textRotation="90" wrapText="1"/>
    </xf>
    <xf numFmtId="0" fontId="0" fillId="0" borderId="0" xfId="0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5" fillId="4" borderId="1" xfId="0" applyFont="1" applyFill="1" applyBorder="1" applyAlignment="1">
      <alignment horizontal="center"/>
    </xf>
    <xf numFmtId="164" fontId="1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7" fillId="4" borderId="6" xfId="0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8" fillId="0" borderId="0" xfId="0" applyNumberFormat="1" applyFont="1" applyFill="1" applyAlignment="1" applyProtection="1">
      <alignment horizontal="center" wrapText="1"/>
    </xf>
    <xf numFmtId="0" fontId="18" fillId="0" borderId="14" xfId="0" applyNumberFormat="1" applyFont="1" applyFill="1" applyBorder="1" applyAlignment="1" applyProtection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r>
              <a:rPr lang="en-US"/>
              <a:t>Ãóðèë òí</a:t>
            </a:r>
          </a:p>
        </c:rich>
      </c:tx>
      <c:layout>
        <c:manualLayout>
          <c:xMode val="edge"/>
          <c:yMode val="edge"/>
          <c:x val="0.43301485639653892"/>
          <c:y val="4.0650406504065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0097119020446"/>
          <c:y val="0.22764318011298137"/>
          <c:w val="0.86602971977529764"/>
          <c:h val="0.57723806385790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'dinamik-golner'!$B$23</c:f>
              <c:strCache>
                <c:ptCount val="1"/>
                <c:pt idx="0">
                  <c:v>Ãóðèë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 Mon"/>
                    <a:ea typeface="Arial Mon"/>
                    <a:cs typeface="Arial Mon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'dinamik-golner'!$C$22:$AH$22</c:f>
              <c:numCache>
                <c:formatCode>General</c:formatCode>
                <c:ptCount val="32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</c:numCache>
            </c:numRef>
          </c:cat>
          <c:val>
            <c:numRef>
              <c:f>'dinamik-golner'!$C$23:$AH$23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2169</c:v>
                </c:pt>
                <c:pt idx="3">
                  <c:v>2793</c:v>
                </c:pt>
                <c:pt idx="4">
                  <c:v>6761.4</c:v>
                </c:pt>
                <c:pt idx="5">
                  <c:v>26689.599999999999</c:v>
                </c:pt>
                <c:pt idx="6">
                  <c:v>25363.4</c:v>
                </c:pt>
                <c:pt idx="7">
                  <c:v>21425</c:v>
                </c:pt>
                <c:pt idx="8">
                  <c:v>5984.8</c:v>
                </c:pt>
                <c:pt idx="9">
                  <c:v>12434</c:v>
                </c:pt>
                <c:pt idx="10">
                  <c:v>15248.7</c:v>
                </c:pt>
                <c:pt idx="11">
                  <c:v>3360.9</c:v>
                </c:pt>
                <c:pt idx="12">
                  <c:v>1856.1</c:v>
                </c:pt>
                <c:pt idx="13">
                  <c:v>2102.8000000000002</c:v>
                </c:pt>
                <c:pt idx="14">
                  <c:v>357.4</c:v>
                </c:pt>
                <c:pt idx="15">
                  <c:v>92.3</c:v>
                </c:pt>
                <c:pt idx="16">
                  <c:v>100</c:v>
                </c:pt>
                <c:pt idx="17">
                  <c:v>307.60000000000002</c:v>
                </c:pt>
                <c:pt idx="18">
                  <c:v>14</c:v>
                </c:pt>
                <c:pt idx="19">
                  <c:v>63</c:v>
                </c:pt>
                <c:pt idx="20">
                  <c:v>32.9</c:v>
                </c:pt>
                <c:pt idx="21">
                  <c:v>100</c:v>
                </c:pt>
                <c:pt idx="22">
                  <c:v>150.6</c:v>
                </c:pt>
                <c:pt idx="23">
                  <c:v>400</c:v>
                </c:pt>
                <c:pt idx="24">
                  <c:v>1360</c:v>
                </c:pt>
                <c:pt idx="25">
                  <c:v>894.1</c:v>
                </c:pt>
                <c:pt idx="26">
                  <c:v>1329</c:v>
                </c:pt>
                <c:pt idx="27">
                  <c:v>1314.4</c:v>
                </c:pt>
                <c:pt idx="28">
                  <c:v>1366.9</c:v>
                </c:pt>
                <c:pt idx="29">
                  <c:v>800.8</c:v>
                </c:pt>
                <c:pt idx="30">
                  <c:v>315.2</c:v>
                </c:pt>
                <c:pt idx="31">
                  <c:v>3785.4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74204912"/>
        <c:axId val="474206480"/>
      </c:barChart>
      <c:catAx>
        <c:axId val="47420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474206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4206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4742049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Arial Mon"/>
          <a:ea typeface="Arial Mon"/>
          <a:cs typeface="Arial Mon"/>
        </a:defRPr>
      </a:pPr>
      <a:endParaRPr lang="en-US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áóñàä áîëîâñðóóëàõ, óñàí õàíãàìæ, õóâöàñ ¿éëäâýðëýë /ñàÿ òºã/</a:t>
            </a:r>
          </a:p>
        </c:rich>
      </c:tx>
      <c:layout>
        <c:manualLayout>
          <c:xMode val="edge"/>
          <c:yMode val="edge"/>
          <c:x val="0.1268882143643851"/>
          <c:y val="3.69003690036900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507552870090683E-2"/>
          <c:y val="0.14145180191959397"/>
          <c:w val="0.92009315736941732"/>
          <c:h val="0.63468712167436669"/>
        </c:manualLayout>
      </c:layout>
      <c:lineChart>
        <c:grouping val="standard"/>
        <c:varyColors val="0"/>
        <c:ser>
          <c:idx val="0"/>
          <c:order val="0"/>
          <c:tx>
            <c:strRef>
              <c:f>'динамик НБ'!$AL$92</c:f>
              <c:strCache>
                <c:ptCount val="1"/>
                <c:pt idx="0">
                  <c:v>хувцас үйлдвэрлэл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4925690021231768E-3"/>
                  <c:y val="-4.4280442804428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6985138004246361E-3"/>
                  <c:y val="-2.9520682608400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5286624203821661E-2"/>
                  <c:y val="-4.4280442804428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5286624203821661E-2"/>
                  <c:y val="-5.4120541205412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37791932059448E-2"/>
                  <c:y val="-3.9360393603936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6.794055201698514E-3"/>
                  <c:y val="-4.4280442804428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0955414012739024E-3"/>
                  <c:y val="-2.4600246002460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3.4440344403444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8.4925690021231768E-3"/>
                  <c:y val="-3.4440344403444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8.4925690021231768E-3"/>
                  <c:y val="-2.9520295202952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1889596602972447E-2"/>
                  <c:y val="-1.9680196801968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019108280254777E-2"/>
                  <c:y val="-4.4280442804428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1889596602972447E-2"/>
                  <c:y val="-2.9520295202952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6985138004246343E-2"/>
                  <c:y val="-3.9360393603936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6985138004246461E-2"/>
                  <c:y val="-4.4280442804428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5.0955414012739024E-3"/>
                  <c:y val="-2.9520295202952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3979903888160769E-2"/>
                  <c:y val="-2.9520295202952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"/>
                  <c:y val="-2.952029520295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'динамик НБ'!$AM$90:$BF$91</c:f>
              <c:strCache>
                <c:ptCount val="2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</c:strCache>
            </c:strRef>
          </c:cat>
          <c:val>
            <c:numRef>
              <c:f>'динамик НБ'!$AM$92:$BF$92</c:f>
              <c:numCache>
                <c:formatCode>General</c:formatCode>
                <c:ptCount val="20"/>
                <c:pt idx="0">
                  <c:v>2.2999999999999998</c:v>
                </c:pt>
                <c:pt idx="1">
                  <c:v>1.6</c:v>
                </c:pt>
                <c:pt idx="2">
                  <c:v>16.399999999999999</c:v>
                </c:pt>
                <c:pt idx="3">
                  <c:v>32</c:v>
                </c:pt>
                <c:pt idx="4">
                  <c:v>54</c:v>
                </c:pt>
                <c:pt idx="5">
                  <c:v>67.5</c:v>
                </c:pt>
                <c:pt idx="6">
                  <c:v>4.4000000000000004</c:v>
                </c:pt>
                <c:pt idx="8">
                  <c:v>0.9</c:v>
                </c:pt>
                <c:pt idx="9">
                  <c:v>0.3</c:v>
                </c:pt>
                <c:pt idx="10">
                  <c:v>0.9</c:v>
                </c:pt>
                <c:pt idx="11">
                  <c:v>11.8</c:v>
                </c:pt>
                <c:pt idx="12">
                  <c:v>21</c:v>
                </c:pt>
                <c:pt idx="13">
                  <c:v>22.9</c:v>
                </c:pt>
                <c:pt idx="14">
                  <c:v>20</c:v>
                </c:pt>
                <c:pt idx="15">
                  <c:v>20</c:v>
                </c:pt>
                <c:pt idx="16">
                  <c:v>6.9</c:v>
                </c:pt>
                <c:pt idx="17">
                  <c:v>3.9</c:v>
                </c:pt>
                <c:pt idx="18">
                  <c:v>4.5999999999999996</c:v>
                </c:pt>
                <c:pt idx="19">
                  <c:v>11.6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'динамик НБ'!$AL$94</c:f>
              <c:strCache>
                <c:ptCount val="1"/>
                <c:pt idx="0">
                  <c:v>усан хангамж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triangle"/>
            <c:size val="7"/>
            <c:spPr>
              <a:ln cmpd="sng">
                <a:solidFill>
                  <a:schemeClr val="accent1"/>
                </a:solidFill>
              </a:ln>
            </c:spPr>
          </c:marker>
          <c:dLbls>
            <c:dLbl>
              <c:idx val="6"/>
              <c:layout>
                <c:manualLayout>
                  <c:x val="-2.37791932059448E-2"/>
                  <c:y val="-3.4440344403444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0382165605095551E-2"/>
                  <c:y val="-2.9520295202952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889596602972447E-2"/>
                  <c:y val="-1.4760147601475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3779193205944859E-2"/>
                  <c:y val="-1.96801968019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5286624203821661E-2"/>
                  <c:y val="-4.9200492004920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5286624203821661E-2"/>
                  <c:y val="-2.9520295202952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1889596602972447E-2"/>
                  <c:y val="-3.4440344403444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3588110403397045E-2"/>
                  <c:y val="-3.4440344403444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3588110403397045E-2"/>
                  <c:y val="-3.4440344403444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5286624203821661E-2"/>
                  <c:y val="-2.9520295202952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2.0382299346339543E-2"/>
                  <c:y val="-3.9360393603936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0969855832241147E-2"/>
                  <c:y val="-4.9200492004920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2.0969855832241147E-2"/>
                  <c:y val="-3.9360393603936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"/>
                  <c:y val="-3.9360393603936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'динамик НБ'!$AM$90:$BF$91</c:f>
              <c:strCache>
                <c:ptCount val="2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</c:strCache>
            </c:strRef>
          </c:cat>
          <c:val>
            <c:numRef>
              <c:f>'динамик НБ'!$AM$94:$BF$94</c:f>
              <c:numCache>
                <c:formatCode>General</c:formatCode>
                <c:ptCount val="20"/>
                <c:pt idx="6">
                  <c:v>31.5</c:v>
                </c:pt>
                <c:pt idx="7" formatCode="0.0">
                  <c:v>35</c:v>
                </c:pt>
                <c:pt idx="8">
                  <c:v>59</c:v>
                </c:pt>
                <c:pt idx="9">
                  <c:v>133.4</c:v>
                </c:pt>
                <c:pt idx="10">
                  <c:v>58.9</c:v>
                </c:pt>
                <c:pt idx="11">
                  <c:v>65.8</c:v>
                </c:pt>
                <c:pt idx="12">
                  <c:v>61</c:v>
                </c:pt>
                <c:pt idx="13">
                  <c:v>63.7</c:v>
                </c:pt>
                <c:pt idx="14">
                  <c:v>71.8</c:v>
                </c:pt>
                <c:pt idx="15">
                  <c:v>74.900000000000006</c:v>
                </c:pt>
                <c:pt idx="16">
                  <c:v>74.8</c:v>
                </c:pt>
                <c:pt idx="17">
                  <c:v>78.599999999999994</c:v>
                </c:pt>
                <c:pt idx="18">
                  <c:v>91.9</c:v>
                </c:pt>
                <c:pt idx="19">
                  <c:v>73.599999999999994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30128"/>
        <c:axId val="475926992"/>
      </c:lineChart>
      <c:lineChart>
        <c:grouping val="standard"/>
        <c:varyColors val="0"/>
        <c:ser>
          <c:idx val="1"/>
          <c:order val="1"/>
          <c:tx>
            <c:strRef>
              <c:f>'динамик НБ'!$AL$93</c:f>
              <c:strCache>
                <c:ptCount val="1"/>
                <c:pt idx="0">
                  <c:v>бусад боловсруулах үйлдвэр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2.5477707006369643E-2"/>
                  <c:y val="-5.9040590405904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5.0955414012739024E-3"/>
                  <c:y val="-4.4280442804428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0573248407643659E-2"/>
                  <c:y val="-5.9040590405904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9707295762341632E-2"/>
                  <c:y val="6.88806888068882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4.1939711664482286E-2"/>
                  <c:y val="-4.4280442804428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"/>
                  <c:y val="5.9040590405904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'динамик НБ'!$AM$90:$BF$91</c:f>
              <c:strCache>
                <c:ptCount val="2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</c:strCache>
            </c:strRef>
          </c:cat>
          <c:val>
            <c:numRef>
              <c:f>'динамик НБ'!$AM$93:$BF$93</c:f>
              <c:numCache>
                <c:formatCode>General</c:formatCode>
                <c:ptCount val="20"/>
                <c:pt idx="1">
                  <c:v>0.7</c:v>
                </c:pt>
                <c:pt idx="2">
                  <c:v>5.2</c:v>
                </c:pt>
                <c:pt idx="3">
                  <c:v>7</c:v>
                </c:pt>
                <c:pt idx="4">
                  <c:v>6.4</c:v>
                </c:pt>
                <c:pt idx="5">
                  <c:v>4.5999999999999996</c:v>
                </c:pt>
                <c:pt idx="6">
                  <c:v>102.6</c:v>
                </c:pt>
                <c:pt idx="7">
                  <c:v>209.8</c:v>
                </c:pt>
                <c:pt idx="8">
                  <c:v>195.2</c:v>
                </c:pt>
                <c:pt idx="9">
                  <c:v>36.1</c:v>
                </c:pt>
                <c:pt idx="10">
                  <c:v>44.7</c:v>
                </c:pt>
                <c:pt idx="11">
                  <c:v>176.7</c:v>
                </c:pt>
                <c:pt idx="12">
                  <c:v>214.8</c:v>
                </c:pt>
                <c:pt idx="13">
                  <c:v>182.5</c:v>
                </c:pt>
                <c:pt idx="14">
                  <c:v>264.8</c:v>
                </c:pt>
                <c:pt idx="15" formatCode="0.0">
                  <c:v>222.3</c:v>
                </c:pt>
                <c:pt idx="16" formatCode="0.0">
                  <c:v>267.8</c:v>
                </c:pt>
                <c:pt idx="17" formatCode="0.0">
                  <c:v>271.39999999999998</c:v>
                </c:pt>
                <c:pt idx="18">
                  <c:v>298.39999999999998</c:v>
                </c:pt>
                <c:pt idx="19" formatCode="0.0">
                  <c:v>296.8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28560"/>
        <c:axId val="475927384"/>
      </c:lineChart>
      <c:catAx>
        <c:axId val="47593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75926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5926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75930128"/>
        <c:crosses val="autoZero"/>
        <c:crossBetween val="between"/>
      </c:valAx>
      <c:valAx>
        <c:axId val="47592738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475928560"/>
        <c:crosses val="max"/>
        <c:crossBetween val="between"/>
      </c:valAx>
      <c:catAx>
        <c:axId val="475928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7592738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6314198989706824"/>
          <c:y val="0.89668051641146362"/>
          <c:w val="0.8368580101029337"/>
          <c:h val="8.1180811808117023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Mon" pitchFamily="34" charset="0"/>
          <a:ea typeface="Arial"/>
          <a:cs typeface="Arial"/>
        </a:defRPr>
      </a:pPr>
      <a:endParaRPr lang="en-US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mn-MN"/>
              <a:t>Хөдөлмөрийн</a:t>
            </a:r>
            <a:r>
              <a:rPr lang="mn-MN" baseline="0"/>
              <a:t> бүтээмж /сая төг/</a:t>
            </a:r>
            <a:endParaRPr lang="en-US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'динамик НБ'!$AG$115</c:f>
              <c:strCache>
                <c:ptCount val="1"/>
                <c:pt idx="0">
                  <c:v>Õºäºëìºðèéí á¿òýýìæ /ñàÿ òºã/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3333333333333367E-3"/>
                  <c:y val="-4.166703120443280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7775590551181169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7777777777778906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'динамик НБ'!$AH$114:$AN$114</c:f>
              <c:numCache>
                <c:formatCode>General</c:formatCode>
                <c:ptCount val="7"/>
                <c:pt idx="0">
                  <c:v>1940</c:v>
                </c:pt>
                <c:pt idx="1">
                  <c:v>1990</c:v>
                </c:pt>
                <c:pt idx="2">
                  <c:v>2009</c:v>
                </c:pt>
                <c:pt idx="3">
                  <c:v>2010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'динамик НБ'!$AH$115:$AN$115</c:f>
              <c:numCache>
                <c:formatCode>General</c:formatCode>
                <c:ptCount val="7"/>
                <c:pt idx="0">
                  <c:v>5.6</c:v>
                </c:pt>
                <c:pt idx="1">
                  <c:v>7.9</c:v>
                </c:pt>
                <c:pt idx="2">
                  <c:v>8.9</c:v>
                </c:pt>
                <c:pt idx="3">
                  <c:v>9.5</c:v>
                </c:pt>
                <c:pt idx="4">
                  <c:v>5.6</c:v>
                </c:pt>
                <c:pt idx="5">
                  <c:v>5.6</c:v>
                </c:pt>
                <c:pt idx="6">
                  <c:v>5.5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75931304"/>
        <c:axId val="475928952"/>
        <c:axId val="0"/>
      </c:bar3DChart>
      <c:catAx>
        <c:axId val="4759313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75928952"/>
        <c:crosses val="autoZero"/>
        <c:auto val="1"/>
        <c:lblAlgn val="ctr"/>
        <c:lblOffset val="100"/>
        <c:noMultiLvlLbl val="0"/>
      </c:catAx>
      <c:valAx>
        <c:axId val="4759289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475931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>
          <a:latin typeface="Arial Mon" pitchFamily="34" charset="0"/>
        </a:defRPr>
      </a:pPr>
      <a:endParaRPr lang="en-U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 Mon" pitchFamily="34" charset="0"/>
              </a:defRPr>
            </a:pPr>
            <a:r>
              <a:rPr lang="en-US" sz="1000" b="0" i="0" u="none" strike="noStrike" baseline="0">
                <a:latin typeface="Arial Mon" pitchFamily="34" charset="0"/>
              </a:rPr>
              <a:t>Íèéò á¿òýýãäýõ¿¿í  /2005 îíû çýðýãö¿¿ëýõ ¿íýýð, ñàÿ òºãðºã</a:t>
            </a:r>
            <a:r>
              <a:rPr lang="en-US" sz="1800" b="0" i="0" u="none" strike="noStrike" baseline="0">
                <a:latin typeface="Arial Mon" pitchFamily="34" charset="0"/>
              </a:rPr>
              <a:t>/</a:t>
            </a:r>
            <a:r>
              <a:rPr lang="en-US" sz="1800" b="1" i="0" u="none" strike="noStrike" baseline="0">
                <a:latin typeface="Arial Mon" pitchFamily="34" charset="0"/>
              </a:rPr>
              <a:t> </a:t>
            </a:r>
            <a:endParaRPr lang="en-US">
              <a:latin typeface="Arial Mon" pitchFamily="34" charset="0"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'динамик НБ'!$BQ$41</c:f>
              <c:strCache>
                <c:ptCount val="1"/>
                <c:pt idx="0">
                  <c:v>Нийт бүтээгдэхүүн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'динамик НБ'!$BR$40:$CM$40</c:f>
              <c:numCache>
                <c:formatCode>General</c:formatCode>
                <c:ptCount val="22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</c:numCache>
            </c:numRef>
          </c:cat>
          <c:val>
            <c:numRef>
              <c:f>'динамик НБ'!$BR$41:$CM$41</c:f>
              <c:numCache>
                <c:formatCode>0.0</c:formatCode>
                <c:ptCount val="22"/>
                <c:pt idx="0">
                  <c:v>83.8</c:v>
                </c:pt>
                <c:pt idx="1">
                  <c:v>405.99999999999994</c:v>
                </c:pt>
                <c:pt idx="2">
                  <c:v>1439.2000000000003</c:v>
                </c:pt>
                <c:pt idx="3">
                  <c:v>2586.1</c:v>
                </c:pt>
                <c:pt idx="4">
                  <c:v>6124.4</c:v>
                </c:pt>
                <c:pt idx="5">
                  <c:v>16229.300000000001</c:v>
                </c:pt>
                <c:pt idx="6">
                  <c:v>4527.3999999999996</c:v>
                </c:pt>
                <c:pt idx="7">
                  <c:v>4592</c:v>
                </c:pt>
                <c:pt idx="8">
                  <c:v>2951.7</c:v>
                </c:pt>
                <c:pt idx="9">
                  <c:v>3096.1</c:v>
                </c:pt>
                <c:pt idx="10">
                  <c:v>3034.2</c:v>
                </c:pt>
                <c:pt idx="11">
                  <c:v>2598.1999999999998</c:v>
                </c:pt>
                <c:pt idx="12">
                  <c:v>3459.2</c:v>
                </c:pt>
                <c:pt idx="13">
                  <c:v>4153</c:v>
                </c:pt>
                <c:pt idx="14">
                  <c:v>3989</c:v>
                </c:pt>
                <c:pt idx="15">
                  <c:v>5031.8999999999996</c:v>
                </c:pt>
                <c:pt idx="16">
                  <c:v>5785</c:v>
                </c:pt>
                <c:pt idx="17">
                  <c:v>6097.7</c:v>
                </c:pt>
                <c:pt idx="18">
                  <c:v>4089.7</c:v>
                </c:pt>
                <c:pt idx="19">
                  <c:v>4178.5</c:v>
                </c:pt>
                <c:pt idx="20">
                  <c:v>4809.5</c:v>
                </c:pt>
                <c:pt idx="21">
                  <c:v>6750.5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30912"/>
        <c:axId val="475932088"/>
      </c:lineChart>
      <c:catAx>
        <c:axId val="47593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5932088"/>
        <c:crosses val="autoZero"/>
        <c:auto val="1"/>
        <c:lblAlgn val="ctr"/>
        <c:lblOffset val="100"/>
        <c:noMultiLvlLbl val="0"/>
      </c:catAx>
      <c:valAx>
        <c:axId val="475932088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crossAx val="47593091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  <a:effectLst>
      <a:outerShdw blurRad="50800" dist="50800" dir="5400000" algn="ctr" rotWithShape="0">
        <a:schemeClr val="bg2">
          <a:lumMod val="75000"/>
        </a:schemeClr>
      </a:outerShdw>
    </a:effectLst>
  </c:spPr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'динамик НБ'!$BQ$90</c:f>
              <c:strCache>
                <c:ptCount val="1"/>
                <c:pt idx="0">
                  <c:v>цахилгаан дулаан, усан хангамж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'динамик НБ'!$BR$89:$CM$89</c:f>
              <c:numCache>
                <c:formatCode>General</c:formatCode>
                <c:ptCount val="22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</c:numCache>
            </c:numRef>
          </c:cat>
          <c:val>
            <c:numRef>
              <c:f>'динамик НБ'!$BR$90:$CM$90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 formatCode="0.0">
                  <c:v>5.8157309616453574</c:v>
                </c:pt>
                <c:pt idx="3" formatCode="0.0">
                  <c:v>39.580836007888323</c:v>
                </c:pt>
                <c:pt idx="4" formatCode="0.0">
                  <c:v>41.623669257396642</c:v>
                </c:pt>
                <c:pt idx="5" formatCode="0.0">
                  <c:v>58.513922350317017</c:v>
                </c:pt>
                <c:pt idx="6" formatCode="0.0">
                  <c:v>16.37363608251977</c:v>
                </c:pt>
                <c:pt idx="7" formatCode="0.0">
                  <c:v>17.648083623693381</c:v>
                </c:pt>
                <c:pt idx="8" formatCode="0.0">
                  <c:v>29.044279567706745</c:v>
                </c:pt>
                <c:pt idx="9" formatCode="0.0">
                  <c:v>29.763250541003199</c:v>
                </c:pt>
                <c:pt idx="10" formatCode="0.0">
                  <c:v>30.08041658427263</c:v>
                </c:pt>
                <c:pt idx="11" formatCode="0.0">
                  <c:v>31.968285736278968</c:v>
                </c:pt>
                <c:pt idx="12" formatCode="0.0">
                  <c:v>25.33822849213691</c:v>
                </c:pt>
                <c:pt idx="13" formatCode="0.0">
                  <c:v>23.633517938839393</c:v>
                </c:pt>
                <c:pt idx="14" formatCode="0.0">
                  <c:v>23.702682376535471</c:v>
                </c:pt>
                <c:pt idx="15" formatCode="0.0">
                  <c:v>20.089826904350247</c:v>
                </c:pt>
                <c:pt idx="16" formatCode="0.0">
                  <c:v>19.797752808988765</c:v>
                </c:pt>
                <c:pt idx="17" formatCode="0.0">
                  <c:v>18.441379536546567</c:v>
                </c:pt>
                <c:pt idx="18" formatCode="0.0">
                  <c:v>37.984742530197074</c:v>
                </c:pt>
              </c:numCache>
            </c:numRef>
          </c:val>
        </c:ser>
        <c:ser>
          <c:idx val="1"/>
          <c:order val="1"/>
          <c:tx>
            <c:strRef>
              <c:f>'динамик НБ'!$BQ$91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'динамик НБ'!$BR$89:$CM$89</c:f>
              <c:numCache>
                <c:formatCode>General</c:formatCode>
                <c:ptCount val="22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</c:numCache>
            </c:numRef>
          </c:cat>
          <c:val>
            <c:numRef>
              <c:f>'динамик НБ'!$BR$91:$CM$91</c:f>
              <c:numCache>
                <c:formatCode>General</c:formatCode>
                <c:ptCount val="22"/>
                <c:pt idx="19" formatCode="0.0">
                  <c:v>40.222567907143713</c:v>
                </c:pt>
                <c:pt idx="20" formatCode="0.0">
                  <c:v>39</c:v>
                </c:pt>
                <c:pt idx="21" formatCode="0.0">
                  <c:v>31</c:v>
                </c:pt>
              </c:numCache>
            </c:numRef>
          </c:val>
        </c:ser>
        <c:ser>
          <c:idx val="2"/>
          <c:order val="2"/>
          <c:tx>
            <c:strRef>
              <c:f>'динамик НБ'!$BQ$92</c:f>
              <c:strCache>
                <c:ptCount val="1"/>
                <c:pt idx="0">
                  <c:v>Уул уурхай олборлолт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'динамик НБ'!$BR$89:$CM$89</c:f>
              <c:numCache>
                <c:formatCode>General</c:formatCode>
                <c:ptCount val="22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</c:numCache>
            </c:numRef>
          </c:cat>
          <c:val>
            <c:numRef>
              <c:f>'динамик НБ'!$BR$92:$CM$92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 formatCode="0.0">
                  <c:v>4.7873818788215674</c:v>
                </c:pt>
                <c:pt idx="3" formatCode="0.0">
                  <c:v>6.2874598816751091</c:v>
                </c:pt>
                <c:pt idx="4" formatCode="0.0">
                  <c:v>8.5853308079158772</c:v>
                </c:pt>
                <c:pt idx="5" formatCode="0.0">
                  <c:v>9.0447523922781627</c:v>
                </c:pt>
                <c:pt idx="6" formatCode="0.0">
                  <c:v>72.341741396828212</c:v>
                </c:pt>
                <c:pt idx="7" formatCode="0.0">
                  <c:v>60.720818815331015</c:v>
                </c:pt>
                <c:pt idx="8" formatCode="0.0">
                  <c:v>36.219805535792929</c:v>
                </c:pt>
                <c:pt idx="9" formatCode="0.0">
                  <c:v>42.427570168922188</c:v>
                </c:pt>
                <c:pt idx="10" formatCode="0.0">
                  <c:v>37.074022806670627</c:v>
                </c:pt>
                <c:pt idx="11" formatCode="0.0">
                  <c:v>31.902855823262264</c:v>
                </c:pt>
                <c:pt idx="12" formatCode="0.0">
                  <c:v>20.027752081406106</c:v>
                </c:pt>
                <c:pt idx="13" formatCode="0.0">
                  <c:v>18.531182277871416</c:v>
                </c:pt>
                <c:pt idx="14" formatCode="0.0">
                  <c:v>15.888693908247681</c:v>
                </c:pt>
                <c:pt idx="15" formatCode="0.0">
                  <c:v>13.521731353961727</c:v>
                </c:pt>
                <c:pt idx="16" formatCode="0.0">
                  <c:v>12.043215211754539</c:v>
                </c:pt>
                <c:pt idx="17" formatCode="0.0">
                  <c:v>10.239926529675124</c:v>
                </c:pt>
                <c:pt idx="18" formatCode="0.0">
                  <c:v>8.4600713971343335</c:v>
                </c:pt>
                <c:pt idx="19" formatCode="0.0">
                  <c:v>11.528060308723227</c:v>
                </c:pt>
                <c:pt idx="20" formatCode="0.0">
                  <c:v>10.5</c:v>
                </c:pt>
                <c:pt idx="21" formatCode="0.0">
                  <c:v>12.6</c:v>
                </c:pt>
              </c:numCache>
            </c:numRef>
          </c:val>
        </c:ser>
        <c:ser>
          <c:idx val="3"/>
          <c:order val="3"/>
          <c:tx>
            <c:strRef>
              <c:f>'динамик НБ'!$BQ$93</c:f>
              <c:strCache>
                <c:ptCount val="1"/>
                <c:pt idx="0">
                  <c:v>Боловсруулах үйлдвэр</c:v>
                </c:pt>
              </c:strCache>
            </c:strRef>
          </c:tx>
          <c:spPr>
            <a:effectLst>
              <a:outerShdw blurRad="50800" dist="50800" dir="5400000" algn="ctr" rotWithShape="0">
                <a:srgbClr val="FF0000"/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'динамик НБ'!$BR$89:$CM$89</c:f>
              <c:numCache>
                <c:formatCode>General</c:formatCode>
                <c:ptCount val="22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</c:numCache>
            </c:numRef>
          </c:cat>
          <c:val>
            <c:numRef>
              <c:f>'динамик НБ'!$BR$93:$CM$93</c:f>
              <c:numCache>
                <c:formatCode>General</c:formatCode>
                <c:ptCount val="22"/>
                <c:pt idx="0">
                  <c:v>100</c:v>
                </c:pt>
                <c:pt idx="1">
                  <c:v>100</c:v>
                </c:pt>
                <c:pt idx="2" formatCode="0.0">
                  <c:v>89.396887159533065</c:v>
                </c:pt>
                <c:pt idx="3" formatCode="0.0">
                  <c:v>54.131704110436573</c:v>
                </c:pt>
                <c:pt idx="4" formatCode="0.0">
                  <c:v>49.790999934687484</c:v>
                </c:pt>
                <c:pt idx="5" formatCode="0.0">
                  <c:v>32.44132525740482</c:v>
                </c:pt>
                <c:pt idx="6" formatCode="0.0">
                  <c:v>11.284622520652031</c:v>
                </c:pt>
                <c:pt idx="7" formatCode="0.0">
                  <c:v>21.631097560975611</c:v>
                </c:pt>
                <c:pt idx="8" formatCode="0.0">
                  <c:v>34.735914896500326</c:v>
                </c:pt>
                <c:pt idx="9" formatCode="0.0">
                  <c:v>27.80917929007461</c:v>
                </c:pt>
                <c:pt idx="10" formatCode="0.0">
                  <c:v>32.845560609056754</c:v>
                </c:pt>
                <c:pt idx="11" formatCode="0.0">
                  <c:v>36.128858440458778</c:v>
                </c:pt>
                <c:pt idx="12" formatCode="0.0">
                  <c:v>54.63401942645698</c:v>
                </c:pt>
                <c:pt idx="13" formatCode="0.0">
                  <c:v>57.835299783289187</c:v>
                </c:pt>
                <c:pt idx="14" formatCode="0.0">
                  <c:v>60.408623715216855</c:v>
                </c:pt>
                <c:pt idx="15" formatCode="0.0">
                  <c:v>66.388441741688027</c:v>
                </c:pt>
                <c:pt idx="16" formatCode="0.0">
                  <c:v>68.159031979256696</c:v>
                </c:pt>
                <c:pt idx="17" formatCode="0.0">
                  <c:v>71.320333896387154</c:v>
                </c:pt>
                <c:pt idx="18" formatCode="0.0">
                  <c:v>53.55518607266859</c:v>
                </c:pt>
                <c:pt idx="19" formatCode="0.0">
                  <c:v>48.249371784133061</c:v>
                </c:pt>
                <c:pt idx="20" formatCode="0.0">
                  <c:v>50.5</c:v>
                </c:pt>
                <c:pt idx="21" formatCode="0.0">
                  <c:v>56.4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cylinder"/>
        <c:axId val="475933656"/>
        <c:axId val="478217424"/>
        <c:axId val="0"/>
      </c:bar3DChart>
      <c:catAx>
        <c:axId val="475933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78217424"/>
        <c:crosses val="autoZero"/>
        <c:auto val="1"/>
        <c:lblAlgn val="ctr"/>
        <c:lblOffset val="100"/>
        <c:noMultiLvlLbl val="0"/>
      </c:catAx>
      <c:valAx>
        <c:axId val="47821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475933656"/>
        <c:crosses val="autoZero"/>
        <c:crossBetween val="between"/>
      </c:valAx>
    </c:plotArea>
    <c:legend>
      <c:legendPos val="b"/>
      <c:legendEntry>
        <c:idx val="1"/>
        <c:delete val="1"/>
      </c:legendEntry>
      <c:overlay val="0"/>
      <c:txPr>
        <a:bodyPr/>
        <a:lstStyle/>
        <a:p>
          <a:pPr>
            <a:defRPr>
              <a:latin typeface="Arial Mon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mn-MN" sz="1000">
                <a:latin typeface="Arial" pitchFamily="34" charset="0"/>
                <a:cs typeface="Arial" pitchFamily="34" charset="0"/>
              </a:rPr>
              <a:t>Нийт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бүтээгдэхүүн</a:t>
            </a:r>
            <a:r>
              <a:rPr lang="en-US" sz="1000">
                <a:latin typeface="Arial" pitchFamily="34" charset="0"/>
                <a:cs typeface="Arial" pitchFamily="34" charset="0"/>
              </a:rPr>
              <a:t>  /2005 </a:t>
            </a:r>
            <a:r>
              <a:rPr lang="mn-MN" sz="1000">
                <a:latin typeface="Arial" pitchFamily="34" charset="0"/>
                <a:cs typeface="Arial" pitchFamily="34" charset="0"/>
              </a:rPr>
              <a:t>оны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зэрэгцүүлэх үнээр</a:t>
            </a:r>
            <a:r>
              <a:rPr lang="en-US" sz="1000">
                <a:latin typeface="Arial" pitchFamily="34" charset="0"/>
                <a:cs typeface="Arial" pitchFamily="34" charset="0"/>
              </a:rPr>
              <a:t>, </a:t>
            </a:r>
            <a:r>
              <a:rPr lang="mn-MN" sz="1000">
                <a:latin typeface="Arial" pitchFamily="34" charset="0"/>
                <a:cs typeface="Arial" pitchFamily="34" charset="0"/>
              </a:rPr>
              <a:t>сая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төгрөг</a:t>
            </a:r>
            <a:r>
              <a:rPr lang="en-US" sz="1000">
                <a:latin typeface="Arial" pitchFamily="34" charset="0"/>
                <a:cs typeface="Arial" pitchFamily="34" charset="0"/>
              </a:rPr>
              <a:t>, </a:t>
            </a:r>
            <a:r>
              <a:rPr lang="mn-MN" sz="1000">
                <a:latin typeface="Arial" pitchFamily="34" charset="0"/>
                <a:cs typeface="Arial" pitchFamily="34" charset="0"/>
              </a:rPr>
              <a:t>салбараар</a:t>
            </a:r>
            <a:r>
              <a:rPr lang="en-US" sz="1000">
                <a:latin typeface="Arial" pitchFamily="34" charset="0"/>
                <a:cs typeface="Arial" pitchFamily="34" charset="0"/>
              </a:rPr>
              <a:t>/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'динамик НБ'!$BQ$81</c:f>
              <c:strCache>
                <c:ptCount val="1"/>
                <c:pt idx="0">
                  <c:v>цахилгаан дулаан, усан хангамж</c:v>
                </c:pt>
              </c:strCache>
            </c:strRef>
          </c:tx>
          <c:spPr>
            <a:ln w="38100"/>
          </c:spPr>
          <c:marker>
            <c:spPr>
              <a:ln w="38100"/>
            </c:spPr>
          </c:marker>
          <c:cat>
            <c:numRef>
              <c:f>'динамик НБ'!$BR$80:$CM$80</c:f>
              <c:numCache>
                <c:formatCode>General</c:formatCode>
                <c:ptCount val="22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</c:numCache>
            </c:numRef>
          </c:cat>
          <c:val>
            <c:numRef>
              <c:f>'динамик НБ'!$BR$81:$CM$81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83.7</c:v>
                </c:pt>
                <c:pt idx="3" formatCode="0.0">
                  <c:v>1023.6</c:v>
                </c:pt>
                <c:pt idx="4" formatCode="0.0">
                  <c:v>2549.1999999999998</c:v>
                </c:pt>
                <c:pt idx="5">
                  <c:v>9496.4</c:v>
                </c:pt>
                <c:pt idx="6">
                  <c:v>741.30000000000007</c:v>
                </c:pt>
                <c:pt idx="7">
                  <c:v>810.40000000000009</c:v>
                </c:pt>
                <c:pt idx="8">
                  <c:v>857.3</c:v>
                </c:pt>
                <c:pt idx="9">
                  <c:v>921.5</c:v>
                </c:pt>
                <c:pt idx="10">
                  <c:v>912.7</c:v>
                </c:pt>
                <c:pt idx="11">
                  <c:v>830.6</c:v>
                </c:pt>
                <c:pt idx="12">
                  <c:v>876.5</c:v>
                </c:pt>
                <c:pt idx="13">
                  <c:v>981.5</c:v>
                </c:pt>
                <c:pt idx="14">
                  <c:v>945.5</c:v>
                </c:pt>
                <c:pt idx="15">
                  <c:v>1010.9</c:v>
                </c:pt>
                <c:pt idx="16">
                  <c:v>1145.3</c:v>
                </c:pt>
                <c:pt idx="17">
                  <c:v>1124.5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'динамик НБ'!$BQ$82</c:f>
              <c:strCache>
                <c:ptCount val="1"/>
              </c:strCache>
            </c:strRef>
          </c:tx>
          <c:cat>
            <c:numRef>
              <c:f>'динамик НБ'!$BR$80:$CM$80</c:f>
              <c:numCache>
                <c:formatCode>General</c:formatCode>
                <c:ptCount val="22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</c:numCache>
            </c:numRef>
          </c:cat>
          <c:val>
            <c:numRef>
              <c:f>'динамик НБ'!$BR$82:$CM$82</c:f>
              <c:numCache>
                <c:formatCode>General</c:formatCode>
                <c:ptCount val="22"/>
                <c:pt idx="18">
                  <c:v>1553.5</c:v>
                </c:pt>
                <c:pt idx="19" formatCode="0.0">
                  <c:v>1680.7</c:v>
                </c:pt>
                <c:pt idx="20" formatCode="0.0">
                  <c:v>1877.1</c:v>
                </c:pt>
                <c:pt idx="21" formatCode="0.0">
                  <c:v>2089.6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'динамик НБ'!$BQ$83</c:f>
              <c:strCache>
                <c:ptCount val="1"/>
                <c:pt idx="0">
                  <c:v>Уул уурхай олборлолт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pPr>
              <a:ln w="38100">
                <a:solidFill>
                  <a:schemeClr val="accent3"/>
                </a:solidFill>
              </a:ln>
            </c:spPr>
          </c:marker>
          <c:cat>
            <c:numRef>
              <c:f>'динамик НБ'!$BR$80:$CM$80</c:f>
              <c:numCache>
                <c:formatCode>General</c:formatCode>
                <c:ptCount val="22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</c:numCache>
            </c:numRef>
          </c:cat>
          <c:val>
            <c:numRef>
              <c:f>'динамик НБ'!$BR$83:$CM$83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68.900000000000006</c:v>
                </c:pt>
                <c:pt idx="3">
                  <c:v>162.6</c:v>
                </c:pt>
                <c:pt idx="4">
                  <c:v>525.79999999999995</c:v>
                </c:pt>
                <c:pt idx="5">
                  <c:v>1467.9</c:v>
                </c:pt>
                <c:pt idx="6" formatCode="0.0">
                  <c:v>3275.2</c:v>
                </c:pt>
                <c:pt idx="7">
                  <c:v>2788.3</c:v>
                </c:pt>
                <c:pt idx="8" formatCode="0.0">
                  <c:v>1069.0999999999999</c:v>
                </c:pt>
                <c:pt idx="9">
                  <c:v>1313.6</c:v>
                </c:pt>
                <c:pt idx="10">
                  <c:v>1124.9000000000001</c:v>
                </c:pt>
                <c:pt idx="11">
                  <c:v>828.90000000000009</c:v>
                </c:pt>
                <c:pt idx="12">
                  <c:v>692.8</c:v>
                </c:pt>
                <c:pt idx="13">
                  <c:v>769.59999999999991</c:v>
                </c:pt>
                <c:pt idx="14">
                  <c:v>633.79999999999995</c:v>
                </c:pt>
                <c:pt idx="15">
                  <c:v>680.40000000000009</c:v>
                </c:pt>
                <c:pt idx="16">
                  <c:v>696.7</c:v>
                </c:pt>
                <c:pt idx="17">
                  <c:v>624.4</c:v>
                </c:pt>
                <c:pt idx="18">
                  <c:v>346</c:v>
                </c:pt>
                <c:pt idx="19">
                  <c:v>481.7</c:v>
                </c:pt>
                <c:pt idx="20" formatCode="0.0">
                  <c:v>506.7</c:v>
                </c:pt>
                <c:pt idx="21" formatCode="0.0">
                  <c:v>628.5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'динамик НБ'!$BQ$84</c:f>
              <c:strCache>
                <c:ptCount val="1"/>
                <c:pt idx="0">
                  <c:v>Боловсруулах үйлдвэр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pPr>
              <a:ln w="38100">
                <a:solidFill>
                  <a:schemeClr val="accent2"/>
                </a:solidFill>
              </a:ln>
            </c:spPr>
          </c:marker>
          <c:cat>
            <c:numRef>
              <c:f>'динамик НБ'!$BR$80:$CM$80</c:f>
              <c:numCache>
                <c:formatCode>General</c:formatCode>
                <c:ptCount val="22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</c:numCache>
            </c:numRef>
          </c:cat>
          <c:val>
            <c:numRef>
              <c:f>'динамик НБ'!$BR$84:$CM$84</c:f>
              <c:numCache>
                <c:formatCode>0.0</c:formatCode>
                <c:ptCount val="22"/>
                <c:pt idx="0" formatCode="General">
                  <c:v>83.8</c:v>
                </c:pt>
                <c:pt idx="1">
                  <c:v>405.99999999999994</c:v>
                </c:pt>
                <c:pt idx="2">
                  <c:v>1286.6000000000001</c:v>
                </c:pt>
                <c:pt idx="3">
                  <c:v>1399.9</c:v>
                </c:pt>
                <c:pt idx="4">
                  <c:v>3049.4</c:v>
                </c:pt>
                <c:pt idx="5">
                  <c:v>5265.0000000000009</c:v>
                </c:pt>
                <c:pt idx="6" formatCode="General">
                  <c:v>510.9</c:v>
                </c:pt>
                <c:pt idx="7" formatCode="General">
                  <c:v>993.30000000000007</c:v>
                </c:pt>
                <c:pt idx="8">
                  <c:v>1025.3</c:v>
                </c:pt>
                <c:pt idx="9">
                  <c:v>860.99999999999989</c:v>
                </c:pt>
                <c:pt idx="10" formatCode="General">
                  <c:v>996.6</c:v>
                </c:pt>
                <c:pt idx="11" formatCode="General">
                  <c:v>938.69999999999993</c:v>
                </c:pt>
                <c:pt idx="12" formatCode="General">
                  <c:v>1889.8999999999999</c:v>
                </c:pt>
                <c:pt idx="13" formatCode="General">
                  <c:v>2401.8999999999996</c:v>
                </c:pt>
                <c:pt idx="14" formatCode="General">
                  <c:v>2409.7000000000003</c:v>
                </c:pt>
                <c:pt idx="15" formatCode="General">
                  <c:v>3340.6</c:v>
                </c:pt>
                <c:pt idx="16">
                  <c:v>3943</c:v>
                </c:pt>
                <c:pt idx="17">
                  <c:v>4348.8999999999996</c:v>
                </c:pt>
                <c:pt idx="18">
                  <c:v>2190.3000000000002</c:v>
                </c:pt>
                <c:pt idx="19">
                  <c:v>2016.1</c:v>
                </c:pt>
                <c:pt idx="20">
                  <c:v>2425.6999999999998</c:v>
                </c:pt>
                <c:pt idx="21">
                  <c:v>4032.4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213896"/>
        <c:axId val="478214288"/>
      </c:lineChart>
      <c:catAx>
        <c:axId val="478213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78214288"/>
        <c:crosses val="autoZero"/>
        <c:auto val="1"/>
        <c:lblAlgn val="ctr"/>
        <c:lblOffset val="100"/>
        <c:noMultiLvlLbl val="0"/>
      </c:catAx>
      <c:valAx>
        <c:axId val="478214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478213896"/>
        <c:crosses val="autoZero"/>
        <c:crossBetween val="between"/>
      </c:valAx>
    </c:plotArea>
    <c:legend>
      <c:legendPos val="b"/>
      <c:legendEntry>
        <c:idx val="1"/>
        <c:delete val="1"/>
      </c:legendEntry>
      <c:overlay val="0"/>
      <c:txPr>
        <a:bodyPr/>
        <a:lstStyle/>
        <a:p>
          <a:pPr>
            <a:defRPr>
              <a:latin typeface="Arial Mon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mn-MN" sz="1000" baseline="0">
                <a:latin typeface="Arial" pitchFamily="34" charset="0"/>
                <a:cs typeface="Arial" pitchFamily="34" charset="0"/>
              </a:rPr>
              <a:t>нийт үйлдвэрлэлтийн 1960 оны салбарын</a:t>
            </a:r>
            <a:r>
              <a:rPr lang="en-US" sz="1000" baseline="0"/>
              <a:t> 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бүтэц</a:t>
            </a:r>
            <a:endParaRPr lang="en-US" sz="10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08223972003538"/>
          <c:y val="0.10649168853893327"/>
          <c:w val="0.54128018372702913"/>
          <c:h val="0.89350831146106657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9.4192694663167084E-2"/>
                  <c:y val="-4.482830271216095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8215004374453186E-2"/>
                  <c:y val="-3.18926800816564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2695231846019328"/>
                  <c:y val="-6.653980752405945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'динамик НБ'!$CO$100:$CO$103</c:f>
              <c:strCache>
                <c:ptCount val="4"/>
                <c:pt idx="0">
                  <c:v>цахилгаан дулаан, усан хангамж</c:v>
                </c:pt>
                <c:pt idx="2">
                  <c:v>Уул уурхай олборлолт</c:v>
                </c:pt>
                <c:pt idx="3">
                  <c:v>Боловсруулах үйлдвэр</c:v>
                </c:pt>
              </c:strCache>
            </c:strRef>
          </c:cat>
          <c:val>
            <c:numRef>
              <c:f>'динамик НБ'!$CP$100:$CP$103</c:f>
              <c:numCache>
                <c:formatCode>0.0</c:formatCode>
                <c:ptCount val="4"/>
                <c:pt idx="0">
                  <c:v>5.8157309616453574</c:v>
                </c:pt>
                <c:pt idx="2" formatCode="General">
                  <c:v>4.7873818788215674</c:v>
                </c:pt>
                <c:pt idx="3" formatCode="General">
                  <c:v>89.396887159533065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 Mon" pitchFamily="34" charset="0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mn-MN" sz="1000">
                <a:latin typeface="Arial" pitchFamily="34" charset="0"/>
                <a:cs typeface="Arial" pitchFamily="34" charset="0"/>
              </a:rPr>
              <a:t>Нийт үйлдвэрлэлтийн 1990 оны салбарын бүтэц</a:t>
            </a:r>
            <a:endParaRPr lang="en-US" sz="1000"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41557305336983"/>
          <c:y val="8.7973170020414118E-2"/>
          <c:w val="0.52461351706036741"/>
          <c:h val="0.87435586176727909"/>
        </c:manualLayout>
      </c:layout>
      <c:pie3DChart>
        <c:varyColors val="1"/>
        <c:ser>
          <c:idx val="1"/>
          <c:order val="1"/>
          <c:tx>
            <c:strRef>
              <c:f>'динамик НБ'!$CP$105</c:f>
              <c:strCache>
                <c:ptCount val="1"/>
                <c:pt idx="0">
                  <c:v>1990</c:v>
                </c:pt>
              </c:strCache>
            </c:strRef>
          </c:tx>
          <c:dLbls>
            <c:dLbl>
              <c:idx val="0"/>
              <c:layout>
                <c:manualLayout>
                  <c:x val="-0.12730533683289624"/>
                  <c:y val="-0.1006514289880431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6417079809468259E-2"/>
                  <c:y val="-3.007545931758530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9050014581510679E-2"/>
                  <c:y val="-2.96402012248468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'динамик НБ'!$CO$106:$CO$109</c:f>
              <c:strCache>
                <c:ptCount val="4"/>
                <c:pt idx="0">
                  <c:v>цахилгаан дулаан, усан хангамж</c:v>
                </c:pt>
                <c:pt idx="2">
                  <c:v>Уул уурхай олборлолт</c:v>
                </c:pt>
                <c:pt idx="3">
                  <c:v>Боловсруулах үйлдвэр</c:v>
                </c:pt>
              </c:strCache>
            </c:strRef>
          </c:cat>
          <c:val>
            <c:numRef>
              <c:f>'динамик НБ'!$CP$106:$CP$109</c:f>
              <c:numCache>
                <c:formatCode>General</c:formatCode>
                <c:ptCount val="4"/>
                <c:pt idx="0">
                  <c:v>58.513922350317017</c:v>
                </c:pt>
                <c:pt idx="2">
                  <c:v>9.0447523922781627</c:v>
                </c:pt>
                <c:pt idx="3">
                  <c:v>32.44132525740482</c:v>
                </c:pt>
              </c:numCache>
            </c:numRef>
          </c:val>
        </c:ser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'динамик НБ'!$CO$100:$CO$103</c:f>
              <c:strCache>
                <c:ptCount val="4"/>
                <c:pt idx="0">
                  <c:v>цахилгаан дулаан, усан хангамж</c:v>
                </c:pt>
                <c:pt idx="2">
                  <c:v>Уул уурхай олборлолт</c:v>
                </c:pt>
                <c:pt idx="3">
                  <c:v>Боловсруулах үйлдвэр</c:v>
                </c:pt>
              </c:strCache>
            </c:strRef>
          </c:cat>
          <c:val>
            <c:numRef>
              <c:f>'динамик НБ'!$CP$100:$CP$103</c:f>
              <c:numCache>
                <c:formatCode>0.0</c:formatCode>
                <c:ptCount val="4"/>
                <c:pt idx="0">
                  <c:v>5.8157309616453574</c:v>
                </c:pt>
                <c:pt idx="2" formatCode="General">
                  <c:v>4.7873818788215674</c:v>
                </c:pt>
                <c:pt idx="3" formatCode="General">
                  <c:v>89.396887159533065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 Mon" pitchFamily="34" charset="0"/>
        </a:defRPr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mn-MN" sz="1000" baseline="0">
                <a:latin typeface="Arial" pitchFamily="34" charset="0"/>
                <a:cs typeface="Arial" pitchFamily="34" charset="0"/>
              </a:rPr>
              <a:t>Нийт үйлдвэрлэлтийн 2005 оны сарбарын бүтэц</a:t>
            </a:r>
            <a:endParaRPr lang="en-US" sz="10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1"/>
          <c:tx>
            <c:strRef>
              <c:f>'динамик НБ'!$CP$110</c:f>
              <c:strCache>
                <c:ptCount val="1"/>
                <c:pt idx="0">
                  <c:v>2005</c:v>
                </c:pt>
              </c:strCache>
            </c:strRef>
          </c:tx>
          <c:dLbls>
            <c:dLbl>
              <c:idx val="0"/>
              <c:layout>
                <c:manualLayout>
                  <c:x val="-2.4522975297944217E-2"/>
                  <c:y val="2.26071741032371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6519232942772108E-2"/>
                  <c:y val="-0.1425277048702248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6092378404852755E-2"/>
                  <c:y val="-2.163786818314384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'динамик НБ'!$CO$111:$CO$114</c:f>
              <c:strCache>
                <c:ptCount val="4"/>
                <c:pt idx="0">
                  <c:v>Öàõèëãààí äóëààí,óñàí õàíãàìæ</c:v>
                </c:pt>
                <c:pt idx="2">
                  <c:v>Óóë óóðõàé îëáîðëîëò</c:v>
                </c:pt>
                <c:pt idx="3">
                  <c:v>Áîëîâñðóóëàõ ¿éëäâýð</c:v>
                </c:pt>
              </c:strCache>
            </c:strRef>
          </c:cat>
          <c:val>
            <c:numRef>
              <c:f>'динамик НБ'!$CP$111:$CP$114</c:f>
              <c:numCache>
                <c:formatCode>0.0</c:formatCode>
                <c:ptCount val="4"/>
                <c:pt idx="0">
                  <c:v>32</c:v>
                </c:pt>
                <c:pt idx="2">
                  <c:v>31.9</c:v>
                </c:pt>
                <c:pt idx="3">
                  <c:v>36.1</c:v>
                </c:pt>
              </c:numCache>
            </c:numRef>
          </c:val>
        </c:ser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'динамик НБ'!$CO$100:$CO$103</c:f>
              <c:strCache>
                <c:ptCount val="4"/>
                <c:pt idx="0">
                  <c:v>цахилгаан дулаан, усан хангамж</c:v>
                </c:pt>
                <c:pt idx="2">
                  <c:v>Уул уурхай олборлолт</c:v>
                </c:pt>
                <c:pt idx="3">
                  <c:v>Боловсруулах үйлдвэр</c:v>
                </c:pt>
              </c:strCache>
            </c:strRef>
          </c:cat>
          <c:val>
            <c:numRef>
              <c:f>'динамик НБ'!$CP$100:$CP$103</c:f>
              <c:numCache>
                <c:formatCode>0.0</c:formatCode>
                <c:ptCount val="4"/>
                <c:pt idx="0">
                  <c:v>5.8157309616453574</c:v>
                </c:pt>
                <c:pt idx="2" formatCode="General">
                  <c:v>4.7873818788215674</c:v>
                </c:pt>
                <c:pt idx="3" formatCode="General">
                  <c:v>89.396887159533065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 Mon" pitchFamily="34" charset="0"/>
        </a:defRPr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mn-MN" sz="1000" baseline="0">
                <a:latin typeface="Arial" pitchFamily="34" charset="0"/>
                <a:cs typeface="Arial" pitchFamily="34" charset="0"/>
              </a:rPr>
              <a:t>Нийт үйлдвэрлэлтийн 201</a:t>
            </a:r>
            <a:r>
              <a:rPr lang="en-US" sz="1000" baseline="0">
                <a:latin typeface="Arial" pitchFamily="34" charset="0"/>
                <a:cs typeface="Arial" pitchFamily="34" charset="0"/>
              </a:rPr>
              <a:t>5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оны салбарын бүтэц</a:t>
            </a:r>
            <a:endParaRPr lang="en-US" sz="10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41557305336994"/>
          <c:y val="8.7973170020414118E-2"/>
          <c:w val="0.53016907261592305"/>
          <c:h val="0.88361512102653839"/>
        </c:manualLayout>
      </c:layout>
      <c:pie3DChart>
        <c:varyColors val="1"/>
        <c:ser>
          <c:idx val="2"/>
          <c:order val="2"/>
          <c:tx>
            <c:strRef>
              <c:f>'динамик НБ'!$CP$119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-0.1236222891493402"/>
                  <c:y val="-6.277340332458449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31.0%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0203805169515066E-2"/>
                  <c:y val="-9.48523622047246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12.6%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1813829722897545"/>
                  <c:y val="-0.121784776902887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56.4%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'динамик НБ'!$CO$120:$CO$124</c:f>
              <c:strCache>
                <c:ptCount val="4"/>
                <c:pt idx="0">
                  <c:v>Öàõèëãààí äóëààí,óñàí õàíãàìæ</c:v>
                </c:pt>
                <c:pt idx="2">
                  <c:v>Óóë óóðõàé îëáîðëîëò</c:v>
                </c:pt>
                <c:pt idx="3">
                  <c:v>Áîëîâñðóóëàõ ¿éëäâýð</c:v>
                </c:pt>
              </c:strCache>
            </c:strRef>
          </c:cat>
          <c:val>
            <c:numRef>
              <c:f>'динамик НБ'!$CP$120:$CP$124</c:f>
              <c:numCache>
                <c:formatCode>0.0</c:formatCode>
                <c:ptCount val="5"/>
                <c:pt idx="0">
                  <c:v>38</c:v>
                </c:pt>
                <c:pt idx="2">
                  <c:v>8.5</c:v>
                </c:pt>
                <c:pt idx="3" formatCode="General">
                  <c:v>53.6</c:v>
                </c:pt>
              </c:numCache>
            </c:numRef>
          </c:val>
        </c:ser>
        <c:ser>
          <c:idx val="1"/>
          <c:order val="1"/>
          <c:tx>
            <c:strRef>
              <c:f>'динамик НБ'!$CP$105</c:f>
              <c:strCache>
                <c:ptCount val="1"/>
                <c:pt idx="0">
                  <c:v>1990</c:v>
                </c:pt>
              </c:strCache>
            </c:strRef>
          </c:tx>
          <c:dLbls>
            <c:dLbl>
              <c:idx val="0"/>
              <c:layout>
                <c:manualLayout>
                  <c:x val="9.183081802274716E-2"/>
                  <c:y val="3.82374599008457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2481758530183718"/>
                  <c:y val="-3.47050889472149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1937664041994824E-2"/>
                  <c:y val="2.591535433070857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'динамик НБ'!$CO$106:$CO$109</c:f>
              <c:strCache>
                <c:ptCount val="4"/>
                <c:pt idx="0">
                  <c:v>цахилгаан дулаан, усан хангамж</c:v>
                </c:pt>
                <c:pt idx="2">
                  <c:v>Уул уурхай олборлолт</c:v>
                </c:pt>
                <c:pt idx="3">
                  <c:v>Боловсруулах үйлдвэр</c:v>
                </c:pt>
              </c:strCache>
            </c:strRef>
          </c:cat>
          <c:val>
            <c:numRef>
              <c:f>'динамик НБ'!$CP$106:$CP$109</c:f>
              <c:numCache>
                <c:formatCode>General</c:formatCode>
                <c:ptCount val="4"/>
                <c:pt idx="0">
                  <c:v>58.513922350317017</c:v>
                </c:pt>
                <c:pt idx="2">
                  <c:v>9.0447523922781627</c:v>
                </c:pt>
                <c:pt idx="3">
                  <c:v>32.44132525740482</c:v>
                </c:pt>
              </c:numCache>
            </c:numRef>
          </c:val>
        </c:ser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'динамик НБ'!$CO$100:$CO$103</c:f>
              <c:strCache>
                <c:ptCount val="4"/>
                <c:pt idx="0">
                  <c:v>цахилгаан дулаан, усан хангамж</c:v>
                </c:pt>
                <c:pt idx="2">
                  <c:v>Уул уурхай олборлолт</c:v>
                </c:pt>
                <c:pt idx="3">
                  <c:v>Боловсруулах үйлдвэр</c:v>
                </c:pt>
              </c:strCache>
            </c:strRef>
          </c:cat>
          <c:val>
            <c:numRef>
              <c:f>'динамик НБ'!$CP$100:$CP$103</c:f>
              <c:numCache>
                <c:formatCode>0.0</c:formatCode>
                <c:ptCount val="4"/>
                <c:pt idx="0">
                  <c:v>5.8157309616453574</c:v>
                </c:pt>
                <c:pt idx="2" formatCode="General">
                  <c:v>4.7873818788215674</c:v>
                </c:pt>
                <c:pt idx="3" formatCode="General">
                  <c:v>89.396887159533065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4.2577235185051403E-2"/>
          <c:y val="0.77277996500437618"/>
          <c:w val="0.70383635531797051"/>
          <c:h val="0.1948126275882181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 Mon" pitchFamily="34" charset="0"/>
        </a:defRPr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en-US" sz="800"/>
              <a:t>1940 îíû</a:t>
            </a:r>
            <a:r>
              <a:rPr lang="en-US" sz="800" baseline="0"/>
              <a:t> </a:t>
            </a:r>
            <a:r>
              <a:rPr lang="en-US" sz="800"/>
              <a:t>Áîëîâñðóóëàõ</a:t>
            </a:r>
            <a:r>
              <a:rPr lang="en-US" sz="800" baseline="0"/>
              <a:t> ¿éëäâýðèéí á¿òýö</a:t>
            </a:r>
            <a:endParaRPr lang="en-US" sz="800"/>
          </a:p>
        </c:rich>
      </c:tx>
      <c:layout>
        <c:manualLayout>
          <c:xMode val="edge"/>
          <c:yMode val="edge"/>
          <c:x val="0.41103477690288936"/>
          <c:y val="2.777777777777807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91246719160118"/>
          <c:y val="0.19336650627004937"/>
          <c:w val="0.42097419072615938"/>
          <c:h val="0.7016236512102656"/>
        </c:manualLayout>
      </c:layout>
      <c:pieChart>
        <c:varyColors val="1"/>
        <c:ser>
          <c:idx val="0"/>
          <c:order val="0"/>
          <c:tx>
            <c:strRef>
              <c:f>'динамик НБ'!$BR$138</c:f>
              <c:strCache>
                <c:ptCount val="1"/>
                <c:pt idx="0">
                  <c:v>1940</c:v>
                </c:pt>
              </c:strCache>
            </c:strRef>
          </c:tx>
          <c:dLbls>
            <c:dLbl>
              <c:idx val="0"/>
              <c:layout>
                <c:manualLayout>
                  <c:x val="-2.7777777777778078E-2"/>
                  <c:y val="-0.185185185185186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96.1</a:t>
                    </a:r>
                  </a:p>
                  <a:p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4444444444444525E-2"/>
                  <c:y val="-4.629629629629683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7222222222222332E-2"/>
                  <c:y val="-8.333333333333334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05"/>
                  <c:y val="-0.1064814814814820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5000000000000024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'динамик НБ'!$BQ$139:$BQ$143</c:f>
              <c:strCache>
                <c:ptCount val="5"/>
                <c:pt idx="0">
                  <c:v>                Õ¿íñ óíäààíû ¿éëäâýðëýë</c:v>
                </c:pt>
                <c:pt idx="1">
                  <c:v>                õóâöàñ ¿éëäâýðëýë</c:v>
                </c:pt>
                <c:pt idx="2">
                  <c:v>                ìîä ìîäîí á¿òýýãäýõ¿¿í</c:v>
                </c:pt>
                <c:pt idx="3">
                  <c:v>                Áàðèëãûí ìàòåðèàë</c:v>
                </c:pt>
                <c:pt idx="4">
                  <c:v>                àðüñ øèð ãóòëûí ¿éëäâýðëýë</c:v>
                </c:pt>
              </c:strCache>
            </c:strRef>
          </c:cat>
          <c:val>
            <c:numRef>
              <c:f>'динамик НБ'!$BR$139:$BR$143</c:f>
              <c:numCache>
                <c:formatCode>0.0</c:formatCode>
                <c:ptCount val="5"/>
                <c:pt idx="0" formatCode="General">
                  <c:v>96.181384248210023</c:v>
                </c:pt>
                <c:pt idx="1">
                  <c:v>0.9925558312655085</c:v>
                </c:pt>
                <c:pt idx="2">
                  <c:v>0.2</c:v>
                </c:pt>
                <c:pt idx="3">
                  <c:v>0.8</c:v>
                </c:pt>
                <c:pt idx="4">
                  <c:v>1.8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46111176727909226"/>
          <c:y val="0.6158592155147331"/>
          <c:w val="0.53888757655293051"/>
          <c:h val="0.3841407844852741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Arial Mon" pitchFamily="34" charset="0"/>
        </a:defRPr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r>
              <a:rPr lang="en-US"/>
              <a:t>òàëõ  òí</a:t>
            </a:r>
          </a:p>
        </c:rich>
      </c:tx>
      <c:layout>
        <c:manualLayout>
          <c:xMode val="edge"/>
          <c:yMode val="edge"/>
          <c:x val="0.44164759725400482"/>
          <c:y val="4.04858299595141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98169336384567E-2"/>
          <c:y val="0.23076968696563244"/>
          <c:w val="0.86956521739130765"/>
          <c:h val="0.574899921914386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'dinamik-golner'!$B$26</c:f>
              <c:strCache>
                <c:ptCount val="1"/>
                <c:pt idx="0">
                  <c:v>òàëõ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3"/>
              <c:layout>
                <c:manualLayout>
                  <c:x val="-3.7300371778471501E-3"/>
                  <c:y val="7.52091824588071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 Mon"/>
                    <a:ea typeface="Arial Mon"/>
                    <a:cs typeface="Arial Mon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'dinamik-golner'!$C$25:$AH$25</c:f>
              <c:numCache>
                <c:formatCode>General</c:formatCode>
                <c:ptCount val="32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</c:numCache>
            </c:numRef>
          </c:cat>
          <c:val>
            <c:numRef>
              <c:f>'dinamik-golner'!$C$26:$AH$26</c:f>
              <c:numCache>
                <c:formatCode>General</c:formatCode>
                <c:ptCount val="32"/>
                <c:pt idx="0">
                  <c:v>0</c:v>
                </c:pt>
                <c:pt idx="1">
                  <c:v>56.6</c:v>
                </c:pt>
                <c:pt idx="2">
                  <c:v>190.5</c:v>
                </c:pt>
                <c:pt idx="3">
                  <c:v>466.5</c:v>
                </c:pt>
                <c:pt idx="4">
                  <c:v>630</c:v>
                </c:pt>
                <c:pt idx="5">
                  <c:v>756.8</c:v>
                </c:pt>
                <c:pt idx="6">
                  <c:v>634.4</c:v>
                </c:pt>
                <c:pt idx="7">
                  <c:v>577.29999999999995</c:v>
                </c:pt>
                <c:pt idx="8">
                  <c:v>215.7</c:v>
                </c:pt>
                <c:pt idx="9">
                  <c:v>99.9</c:v>
                </c:pt>
                <c:pt idx="10">
                  <c:v>2.4</c:v>
                </c:pt>
                <c:pt idx="11">
                  <c:v>3.9</c:v>
                </c:pt>
                <c:pt idx="12">
                  <c:v>1.7</c:v>
                </c:pt>
                <c:pt idx="13">
                  <c:v>0.1</c:v>
                </c:pt>
                <c:pt idx="14">
                  <c:v>1.6</c:v>
                </c:pt>
                <c:pt idx="15">
                  <c:v>9.9</c:v>
                </c:pt>
                <c:pt idx="16">
                  <c:v>12.9</c:v>
                </c:pt>
                <c:pt idx="17">
                  <c:v>16.2</c:v>
                </c:pt>
                <c:pt idx="18">
                  <c:v>17.3</c:v>
                </c:pt>
                <c:pt idx="19">
                  <c:v>9.9</c:v>
                </c:pt>
                <c:pt idx="20">
                  <c:v>6.6</c:v>
                </c:pt>
                <c:pt idx="21">
                  <c:v>5.8</c:v>
                </c:pt>
                <c:pt idx="22">
                  <c:v>76</c:v>
                </c:pt>
                <c:pt idx="23">
                  <c:v>38</c:v>
                </c:pt>
                <c:pt idx="24">
                  <c:v>53.7</c:v>
                </c:pt>
                <c:pt idx="25">
                  <c:v>109</c:v>
                </c:pt>
                <c:pt idx="26">
                  <c:v>88.6</c:v>
                </c:pt>
                <c:pt idx="27">
                  <c:v>110.1</c:v>
                </c:pt>
                <c:pt idx="28">
                  <c:v>115.9</c:v>
                </c:pt>
                <c:pt idx="29">
                  <c:v>86.3</c:v>
                </c:pt>
                <c:pt idx="30">
                  <c:v>177.9</c:v>
                </c:pt>
                <c:pt idx="31">
                  <c:v>117.3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74203736"/>
        <c:axId val="474200600"/>
      </c:barChart>
      <c:catAx>
        <c:axId val="474203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474200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4200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474203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Mon"/>
          <a:ea typeface="Arial Mon"/>
          <a:cs typeface="Arial Mon"/>
        </a:defRPr>
      </a:pPr>
      <a:endParaRPr lang="en-US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4424321959755028E-2"/>
          <c:y val="5.0925925925925923E-2"/>
          <c:w val="0.53888888888888964"/>
          <c:h val="0.89814814814814814"/>
        </c:manualLayout>
      </c:layout>
      <c:doughnutChart>
        <c:varyColors val="1"/>
        <c:ser>
          <c:idx val="0"/>
          <c:order val="0"/>
          <c:tx>
            <c:strRef>
              <c:f>'динамик НБ'!$CP$211</c:f>
              <c:strCache>
                <c:ptCount val="1"/>
                <c:pt idx="0">
                  <c:v>1940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'динамик НБ'!$CO$212:$CO$221</c:f>
              <c:strCache>
                <c:ptCount val="10"/>
                <c:pt idx="0">
                  <c:v>Цахилгаан дулаан усан хангамж</c:v>
                </c:pt>
                <c:pt idx="1">
                  <c:v>уул уурхай олборлолт</c:v>
                </c:pt>
                <c:pt idx="2">
                  <c:v>хүнс ундааны үйлдвэрлэл</c:v>
                </c:pt>
                <c:pt idx="3">
                  <c:v>хувцас үйлдвэрлэл</c:v>
                </c:pt>
                <c:pt idx="4">
                  <c:v>мод модон бүтээгдэхүүний үйлдвэрлэл</c:v>
                </c:pt>
                <c:pt idx="5">
                  <c:v>барилгын материалын үйлдвэрлэл</c:v>
                </c:pt>
                <c:pt idx="6">
                  <c:v>арьс шир гутлын үйлдвэрлэл</c:v>
                </c:pt>
                <c:pt idx="7">
                  <c:v>өлөн болосруулалт</c:v>
                </c:pt>
                <c:pt idx="8">
                  <c:v>хэвлэх үйлдвэрлэл</c:v>
                </c:pt>
                <c:pt idx="9">
                  <c:v>бусад боловсруулах үйлдвэрл</c:v>
                </c:pt>
              </c:strCache>
            </c:strRef>
          </c:cat>
          <c:val>
            <c:numRef>
              <c:f>'динамик НБ'!$CP$212:$CP$221</c:f>
              <c:numCache>
                <c:formatCode>0.0</c:formatCode>
                <c:ptCount val="10"/>
                <c:pt idx="1">
                  <c:v>13.333333333333334</c:v>
                </c:pt>
                <c:pt idx="4" formatCode="General">
                  <c:v>20</c:v>
                </c:pt>
                <c:pt idx="5">
                  <c:v>33.333333333333329</c:v>
                </c:pt>
                <c:pt idx="6">
                  <c:v>33.333333333333329</c:v>
                </c:pt>
              </c:numCache>
            </c:numRef>
          </c:val>
        </c:ser>
        <c:ser>
          <c:idx val="1"/>
          <c:order val="1"/>
          <c:tx>
            <c:strRef>
              <c:f>'динамик НБ'!$CQ$211</c:f>
              <c:strCache>
                <c:ptCount val="1"/>
                <c:pt idx="0">
                  <c:v>1990</c:v>
                </c:pt>
              </c:strCache>
            </c:strRef>
          </c:tx>
          <c:dLbls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1.3888888888888984E-2"/>
                  <c:y val="-4.629629629629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'динамик НБ'!$CO$212:$CO$221</c:f>
              <c:strCache>
                <c:ptCount val="10"/>
                <c:pt idx="0">
                  <c:v>Цахилгаан дулаан усан хангамж</c:v>
                </c:pt>
                <c:pt idx="1">
                  <c:v>уул уурхай олборлолт</c:v>
                </c:pt>
                <c:pt idx="2">
                  <c:v>хүнс ундааны үйлдвэрлэл</c:v>
                </c:pt>
                <c:pt idx="3">
                  <c:v>хувцас үйлдвэрлэл</c:v>
                </c:pt>
                <c:pt idx="4">
                  <c:v>мод модон бүтээгдэхүүний үйлдвэрлэл</c:v>
                </c:pt>
                <c:pt idx="5">
                  <c:v>барилгын материалын үйлдвэрлэл</c:v>
                </c:pt>
                <c:pt idx="6">
                  <c:v>арьс шир гутлын үйлдвэрлэл</c:v>
                </c:pt>
                <c:pt idx="7">
                  <c:v>өлөн болосруулалт</c:v>
                </c:pt>
                <c:pt idx="8">
                  <c:v>хэвлэх үйлдвэрлэл</c:v>
                </c:pt>
                <c:pt idx="9">
                  <c:v>бусад боловсруулах үйлдвэрл</c:v>
                </c:pt>
              </c:strCache>
            </c:strRef>
          </c:cat>
          <c:val>
            <c:numRef>
              <c:f>'динамик НБ'!$CQ$212:$CQ$221</c:f>
              <c:numCache>
                <c:formatCode>0.0</c:formatCode>
                <c:ptCount val="10"/>
                <c:pt idx="0">
                  <c:v>24.641460234680572</c:v>
                </c:pt>
                <c:pt idx="1">
                  <c:v>2.2598870056497176</c:v>
                </c:pt>
                <c:pt idx="2">
                  <c:v>13.298565840938723</c:v>
                </c:pt>
                <c:pt idx="3">
                  <c:v>30.247718383311607</c:v>
                </c:pt>
                <c:pt idx="4">
                  <c:v>9.5176010430247722</c:v>
                </c:pt>
                <c:pt idx="5">
                  <c:v>14.776184267709692</c:v>
                </c:pt>
                <c:pt idx="6">
                  <c:v>4.34593654932638</c:v>
                </c:pt>
                <c:pt idx="7" formatCode="General">
                  <c:v>0</c:v>
                </c:pt>
                <c:pt idx="8">
                  <c:v>0.91264667535853972</c:v>
                </c:pt>
                <c:pt idx="9" formatCode="General">
                  <c:v>0</c:v>
                </c:pt>
              </c:numCache>
            </c:numRef>
          </c:val>
        </c:ser>
        <c:ser>
          <c:idx val="2"/>
          <c:order val="2"/>
          <c:tx>
            <c:strRef>
              <c:f>'динамик НБ'!$CR$211</c:f>
              <c:strCache>
                <c:ptCount val="1"/>
                <c:pt idx="0">
                  <c:v>2014</c:v>
                </c:pt>
              </c:strCache>
            </c:strRef>
          </c:tx>
          <c:dLbls>
            <c:dLbl>
              <c:idx val="0"/>
              <c:layout>
                <c:manualLayout>
                  <c:x val="5.8339524715166811E-2"/>
                  <c:y val="8.7962900342978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3.2407407407407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'динамик НБ'!$CO$212:$CO$221</c:f>
              <c:strCache>
                <c:ptCount val="10"/>
                <c:pt idx="0">
                  <c:v>Цахилгаан дулаан усан хангамж</c:v>
                </c:pt>
                <c:pt idx="1">
                  <c:v>уул уурхай олборлолт</c:v>
                </c:pt>
                <c:pt idx="2">
                  <c:v>хүнс ундааны үйлдвэрлэл</c:v>
                </c:pt>
                <c:pt idx="3">
                  <c:v>хувцас үйлдвэрлэл</c:v>
                </c:pt>
                <c:pt idx="4">
                  <c:v>мод модон бүтээгдэхүүний үйлдвэрлэл</c:v>
                </c:pt>
                <c:pt idx="5">
                  <c:v>барилгын материалын үйлдвэрлэл</c:v>
                </c:pt>
                <c:pt idx="6">
                  <c:v>арьс шир гутлын үйлдвэрлэл</c:v>
                </c:pt>
                <c:pt idx="7">
                  <c:v>өлөн болосруулалт</c:v>
                </c:pt>
                <c:pt idx="8">
                  <c:v>хэвлэх үйлдвэрлэл</c:v>
                </c:pt>
                <c:pt idx="9">
                  <c:v>бусад боловсруулах үйлдвэрл</c:v>
                </c:pt>
              </c:strCache>
            </c:strRef>
          </c:cat>
          <c:val>
            <c:numRef>
              <c:f>'динамик НБ'!$CR$212:$CR$221</c:f>
              <c:numCache>
                <c:formatCode>0.0</c:formatCode>
                <c:ptCount val="10"/>
                <c:pt idx="0">
                  <c:v>28.9</c:v>
                </c:pt>
                <c:pt idx="1">
                  <c:v>5.9</c:v>
                </c:pt>
                <c:pt idx="2">
                  <c:v>34.6</c:v>
                </c:pt>
                <c:pt idx="3">
                  <c:v>3.1</c:v>
                </c:pt>
                <c:pt idx="4">
                  <c:v>1.9</c:v>
                </c:pt>
                <c:pt idx="5">
                  <c:v>12.5</c:v>
                </c:pt>
                <c:pt idx="6">
                  <c:v>8</c:v>
                </c:pt>
                <c:pt idx="7">
                  <c:v>0.7</c:v>
                </c:pt>
                <c:pt idx="8">
                  <c:v>0</c:v>
                </c:pt>
                <c:pt idx="9">
                  <c:v>4.3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Mon" pitchFamily="34" charset="0"/>
        </a:defRPr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Àæèëëàãñäûí</a:t>
            </a:r>
            <a:r>
              <a:rPr lang="en-US" sz="1000" b="0" baseline="0"/>
              <a:t> òîî</a:t>
            </a:r>
            <a:endParaRPr lang="en-US" sz="1000" b="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759385280459851"/>
          <c:y val="0.10170041244844399"/>
          <c:w val="0.87240620211490905"/>
          <c:h val="0.4677111789597728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'динамик НБ'!$CP$197</c:f>
              <c:strCache>
                <c:ptCount val="1"/>
                <c:pt idx="0">
                  <c:v>1940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'динамик НБ'!$CO$198:$CO$207</c:f>
              <c:strCache>
                <c:ptCount val="10"/>
                <c:pt idx="0">
                  <c:v>Цахилгаан дулаан усан хангамж</c:v>
                </c:pt>
                <c:pt idx="1">
                  <c:v>уул уурхай олборлолт</c:v>
                </c:pt>
                <c:pt idx="2">
                  <c:v>хүнс ундааны үйлдвэрлэл</c:v>
                </c:pt>
                <c:pt idx="3">
                  <c:v>хувцас үйлдвэрлэл</c:v>
                </c:pt>
                <c:pt idx="4">
                  <c:v>мод модон бүтээгдэхүүний үйлдвэрлэл</c:v>
                </c:pt>
                <c:pt idx="5">
                  <c:v>барилгын материалын үйлдвэрлэл</c:v>
                </c:pt>
                <c:pt idx="6">
                  <c:v>арьс шир гутлын үйлдвэрлэл</c:v>
                </c:pt>
                <c:pt idx="7">
                  <c:v>өлөн болосруулалт</c:v>
                </c:pt>
                <c:pt idx="8">
                  <c:v>хэвлэх үйлдвэрлэл</c:v>
                </c:pt>
                <c:pt idx="9">
                  <c:v>бусад боловсруулах үйлдвэрл</c:v>
                </c:pt>
              </c:strCache>
            </c:strRef>
          </c:cat>
          <c:val>
            <c:numRef>
              <c:f>'динамик НБ'!$CP$198:$CP$207</c:f>
              <c:numCache>
                <c:formatCode>General</c:formatCode>
                <c:ptCount val="10"/>
                <c:pt idx="1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</c:numCache>
            </c:numRef>
          </c:val>
        </c:ser>
        <c:ser>
          <c:idx val="1"/>
          <c:order val="1"/>
          <c:tx>
            <c:strRef>
              <c:f>'динамик НБ'!$CQ$197</c:f>
              <c:strCache>
                <c:ptCount val="1"/>
                <c:pt idx="0">
                  <c:v>1990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-1.0147133434804631E-2"/>
                  <c:y val="1.3605442176870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'динамик НБ'!$CO$198:$CO$207</c:f>
              <c:strCache>
                <c:ptCount val="10"/>
                <c:pt idx="0">
                  <c:v>Цахилгаан дулаан усан хангамж</c:v>
                </c:pt>
                <c:pt idx="1">
                  <c:v>уул уурхай олборлолт</c:v>
                </c:pt>
                <c:pt idx="2">
                  <c:v>хүнс ундааны үйлдвэрлэл</c:v>
                </c:pt>
                <c:pt idx="3">
                  <c:v>хувцас үйлдвэрлэл</c:v>
                </c:pt>
                <c:pt idx="4">
                  <c:v>мод модон бүтээгдэхүүний үйлдвэрлэл</c:v>
                </c:pt>
                <c:pt idx="5">
                  <c:v>барилгын материалын үйлдвэрлэл</c:v>
                </c:pt>
                <c:pt idx="6">
                  <c:v>арьс шир гутлын үйлдвэрлэл</c:v>
                </c:pt>
                <c:pt idx="7">
                  <c:v>өлөн болосруулалт</c:v>
                </c:pt>
                <c:pt idx="8">
                  <c:v>хэвлэх үйлдвэрлэл</c:v>
                </c:pt>
                <c:pt idx="9">
                  <c:v>бусад боловсруулах үйлдвэрл</c:v>
                </c:pt>
              </c:strCache>
            </c:strRef>
          </c:cat>
          <c:val>
            <c:numRef>
              <c:f>'динамик НБ'!$CQ$198:$CQ$207</c:f>
              <c:numCache>
                <c:formatCode>General</c:formatCode>
                <c:ptCount val="10"/>
                <c:pt idx="0">
                  <c:v>567</c:v>
                </c:pt>
                <c:pt idx="1">
                  <c:v>52</c:v>
                </c:pt>
                <c:pt idx="2">
                  <c:v>306</c:v>
                </c:pt>
                <c:pt idx="3">
                  <c:v>696</c:v>
                </c:pt>
                <c:pt idx="4">
                  <c:v>219</c:v>
                </c:pt>
                <c:pt idx="5">
                  <c:v>340</c:v>
                </c:pt>
                <c:pt idx="6">
                  <c:v>100</c:v>
                </c:pt>
                <c:pt idx="8">
                  <c:v>21</c:v>
                </c:pt>
              </c:numCache>
            </c:numRef>
          </c:val>
        </c:ser>
        <c:ser>
          <c:idx val="2"/>
          <c:order val="2"/>
          <c:tx>
            <c:strRef>
              <c:f>'динамик НБ'!$CR$197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5248868778280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71588223417774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7287205615135236E-3"/>
                  <c:y val="3.401360544217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'динамик НБ'!$CO$198:$CO$207</c:f>
              <c:strCache>
                <c:ptCount val="10"/>
                <c:pt idx="0">
                  <c:v>Цахилгаан дулаан усан хангамж</c:v>
                </c:pt>
                <c:pt idx="1">
                  <c:v>уул уурхай олборлолт</c:v>
                </c:pt>
                <c:pt idx="2">
                  <c:v>хүнс ундааны үйлдвэрлэл</c:v>
                </c:pt>
                <c:pt idx="3">
                  <c:v>хувцас үйлдвэрлэл</c:v>
                </c:pt>
                <c:pt idx="4">
                  <c:v>мод модон бүтээгдэхүүний үйлдвэрлэл</c:v>
                </c:pt>
                <c:pt idx="5">
                  <c:v>барилгын материалын үйлдвэрлэл</c:v>
                </c:pt>
                <c:pt idx="6">
                  <c:v>арьс шир гутлын үйлдвэрлэл</c:v>
                </c:pt>
                <c:pt idx="7">
                  <c:v>өлөн болосруулалт</c:v>
                </c:pt>
                <c:pt idx="8">
                  <c:v>хэвлэх үйлдвэрлэл</c:v>
                </c:pt>
                <c:pt idx="9">
                  <c:v>бусад боловсруулах үйлдвэрл</c:v>
                </c:pt>
              </c:strCache>
            </c:strRef>
          </c:cat>
          <c:val>
            <c:numRef>
              <c:f>'динамик НБ'!$CR$198:$CR$207</c:f>
              <c:numCache>
                <c:formatCode>General</c:formatCode>
                <c:ptCount val="10"/>
                <c:pt idx="0">
                  <c:v>188</c:v>
                </c:pt>
                <c:pt idx="1">
                  <c:v>47</c:v>
                </c:pt>
                <c:pt idx="2">
                  <c:v>194</c:v>
                </c:pt>
                <c:pt idx="3">
                  <c:v>3</c:v>
                </c:pt>
                <c:pt idx="4">
                  <c:v>37</c:v>
                </c:pt>
                <c:pt idx="5">
                  <c:v>129</c:v>
                </c:pt>
                <c:pt idx="6">
                  <c:v>54</c:v>
                </c:pt>
                <c:pt idx="7">
                  <c:v>12</c:v>
                </c:pt>
                <c:pt idx="9">
                  <c:v>66</c:v>
                </c:pt>
              </c:numCache>
            </c:numRef>
          </c:val>
        </c:ser>
        <c:ser>
          <c:idx val="3"/>
          <c:order val="3"/>
          <c:tx>
            <c:strRef>
              <c:f>'динамик НБ'!$CS$197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21823968836475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6456930440256076E-3"/>
                  <c:y val="1.0204081632653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4764432726452181E-3"/>
                  <c:y val="1.0204081632653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311475409836068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'динамик НБ'!$CO$198:$CO$207</c:f>
              <c:strCache>
                <c:ptCount val="10"/>
                <c:pt idx="0">
                  <c:v>Цахилгаан дулаан усан хангамж</c:v>
                </c:pt>
                <c:pt idx="1">
                  <c:v>уул уурхай олборлолт</c:v>
                </c:pt>
                <c:pt idx="2">
                  <c:v>хүнс ундааны үйлдвэрлэл</c:v>
                </c:pt>
                <c:pt idx="3">
                  <c:v>хувцас үйлдвэрлэл</c:v>
                </c:pt>
                <c:pt idx="4">
                  <c:v>мод модон бүтээгдэхүүний үйлдвэрлэл</c:v>
                </c:pt>
                <c:pt idx="5">
                  <c:v>барилгын материалын үйлдвэрлэл</c:v>
                </c:pt>
                <c:pt idx="6">
                  <c:v>арьс шир гутлын үйлдвэрлэл</c:v>
                </c:pt>
                <c:pt idx="7">
                  <c:v>өлөн болосруулалт</c:v>
                </c:pt>
                <c:pt idx="8">
                  <c:v>хэвлэх үйлдвэрлэл</c:v>
                </c:pt>
                <c:pt idx="9">
                  <c:v>бусад боловсруулах үйлдвэрл</c:v>
                </c:pt>
              </c:strCache>
            </c:strRef>
          </c:cat>
          <c:val>
            <c:numRef>
              <c:f>'динамик НБ'!$CS$198:$CS$207</c:f>
              <c:numCache>
                <c:formatCode>General</c:formatCode>
                <c:ptCount val="10"/>
                <c:pt idx="0">
                  <c:v>183</c:v>
                </c:pt>
                <c:pt idx="1">
                  <c:v>48</c:v>
                </c:pt>
                <c:pt idx="2">
                  <c:v>222</c:v>
                </c:pt>
                <c:pt idx="3">
                  <c:v>15</c:v>
                </c:pt>
                <c:pt idx="4">
                  <c:v>22</c:v>
                </c:pt>
                <c:pt idx="5">
                  <c:v>128</c:v>
                </c:pt>
                <c:pt idx="6">
                  <c:v>63</c:v>
                </c:pt>
                <c:pt idx="7">
                  <c:v>10</c:v>
                </c:pt>
                <c:pt idx="9">
                  <c:v>61</c:v>
                </c:pt>
              </c:numCache>
            </c:numRef>
          </c:val>
        </c:ser>
        <c:ser>
          <c:idx val="4"/>
          <c:order val="4"/>
          <c:tx>
            <c:strRef>
              <c:f>'динамик НБ'!$CT$197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04977375565610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24886877828046E-3"/>
                  <c:y val="3.40109272055278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5082956259426857E-3"/>
                  <c:y val="-1.0204081632653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6199095022624465E-2"/>
                  <c:y val="-0.183673469387755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'динамик НБ'!$CO$198:$CO$207</c:f>
              <c:strCache>
                <c:ptCount val="10"/>
                <c:pt idx="0">
                  <c:v>Цахилгаан дулаан усан хангамж</c:v>
                </c:pt>
                <c:pt idx="1">
                  <c:v>уул уурхай олборлолт</c:v>
                </c:pt>
                <c:pt idx="2">
                  <c:v>хүнс ундааны үйлдвэрлэл</c:v>
                </c:pt>
                <c:pt idx="3">
                  <c:v>хувцас үйлдвэрлэл</c:v>
                </c:pt>
                <c:pt idx="4">
                  <c:v>мод модон бүтээгдэхүүний үйлдвэрлэл</c:v>
                </c:pt>
                <c:pt idx="5">
                  <c:v>барилгын материалын үйлдвэрлэл</c:v>
                </c:pt>
                <c:pt idx="6">
                  <c:v>арьс шир гутлын үйлдвэрлэл</c:v>
                </c:pt>
                <c:pt idx="7">
                  <c:v>өлөн болосруулалт</c:v>
                </c:pt>
                <c:pt idx="8">
                  <c:v>хэвлэх үйлдвэрлэл</c:v>
                </c:pt>
                <c:pt idx="9">
                  <c:v>бусад боловсруулах үйлдвэрл</c:v>
                </c:pt>
              </c:strCache>
            </c:strRef>
          </c:cat>
          <c:val>
            <c:numRef>
              <c:f>'динамик НБ'!$CT$198:$CT$207</c:f>
              <c:numCache>
                <c:formatCode>General</c:formatCode>
                <c:ptCount val="10"/>
                <c:pt idx="0">
                  <c:v>259</c:v>
                </c:pt>
                <c:pt idx="1">
                  <c:v>53</c:v>
                </c:pt>
                <c:pt idx="2">
                  <c:v>310.5</c:v>
                </c:pt>
                <c:pt idx="3">
                  <c:v>28</c:v>
                </c:pt>
                <c:pt idx="4">
                  <c:v>17</c:v>
                </c:pt>
                <c:pt idx="5">
                  <c:v>112.2</c:v>
                </c:pt>
                <c:pt idx="6">
                  <c:v>72</c:v>
                </c:pt>
                <c:pt idx="7">
                  <c:v>6</c:v>
                </c:pt>
                <c:pt idx="9">
                  <c:v>39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478213112"/>
        <c:axId val="478215464"/>
        <c:axId val="0"/>
      </c:bar3DChart>
      <c:catAx>
        <c:axId val="4782131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78215464"/>
        <c:crosses val="autoZero"/>
        <c:auto val="1"/>
        <c:lblAlgn val="ctr"/>
        <c:lblOffset val="100"/>
        <c:noMultiLvlLbl val="0"/>
      </c:catAx>
      <c:valAx>
        <c:axId val="4782154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47821311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68524069606906368"/>
          <c:y val="0.33335047404789026"/>
          <c:w val="0.29090034560159617"/>
          <c:h val="5.746558465906051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Mon" pitchFamily="34" charset="0"/>
        </a:defRPr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'динамик НБ'!$CO$241</c:f>
              <c:strCache>
                <c:ptCount val="1"/>
                <c:pt idx="0">
                  <c:v>хөдөлмөрийн бүтээмж /сая төг/</c:v>
                </c:pt>
              </c:strCache>
            </c:strRef>
          </c:tx>
          <c:dLbls>
            <c:dLbl>
              <c:idx val="0"/>
              <c:tx>
                <c:rich>
                  <a:bodyPr/>
                  <a:lstStyle/>
                  <a:p>
                    <a:r>
                      <a:rPr lang="mn-MN" baseline="0"/>
                      <a:t>5586,0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mn-MN"/>
                      <a:t>7053,0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>
                        <a:latin typeface="Arial" pitchFamily="34" charset="0"/>
                        <a:cs typeface="Arial" pitchFamily="34" charset="0"/>
                      </a:defRPr>
                    </a:pPr>
                    <a:r>
                      <a:rPr lang="mn-MN">
                        <a:latin typeface="Arial" pitchFamily="34" charset="0"/>
                        <a:cs typeface="Arial" pitchFamily="34" charset="0"/>
                      </a:rPr>
                      <a:t>9530,0</a:t>
                    </a:r>
                    <a:endParaRPr lang="en-US">
                      <a:latin typeface="Arial" pitchFamily="34" charset="0"/>
                      <a:cs typeface="Arial" pitchFamily="34" charset="0"/>
                    </a:endParaRPr>
                  </a:p>
                </c:rich>
              </c:tx>
              <c:spPr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'динамик НБ'!$CP$240:$CR$240</c:f>
              <c:numCache>
                <c:formatCode>General</c:formatCode>
                <c:ptCount val="3"/>
                <c:pt idx="0">
                  <c:v>1940</c:v>
                </c:pt>
                <c:pt idx="1">
                  <c:v>1990</c:v>
                </c:pt>
                <c:pt idx="2">
                  <c:v>2012</c:v>
                </c:pt>
              </c:numCache>
            </c:numRef>
          </c:cat>
          <c:val>
            <c:numRef>
              <c:f>'динамик НБ'!$CP$241:$CR$241</c:f>
              <c:numCache>
                <c:formatCode>0.0</c:formatCode>
                <c:ptCount val="3"/>
                <c:pt idx="0">
                  <c:v>5586</c:v>
                </c:pt>
                <c:pt idx="1">
                  <c:v>7053</c:v>
                </c:pt>
                <c:pt idx="2">
                  <c:v>5602.5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 Mon" pitchFamily="34" charset="0"/>
        </a:defRPr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r>
              <a:rPr lang="en-US"/>
              <a:t>Íàðèéí áîîâ òí</a:t>
            </a:r>
          </a:p>
        </c:rich>
      </c:tx>
      <c:layout>
        <c:manualLayout>
          <c:xMode val="edge"/>
          <c:yMode val="edge"/>
          <c:x val="0.38780487804878444"/>
          <c:y val="3.69003690036900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560975609756226E-2"/>
          <c:y val="0.20295239519501698"/>
          <c:w val="0.8682926829268296"/>
          <c:h val="0.6346874904280545"/>
        </c:manualLayout>
      </c:layout>
      <c:lineChart>
        <c:grouping val="standard"/>
        <c:varyColors val="0"/>
        <c:ser>
          <c:idx val="0"/>
          <c:order val="0"/>
          <c:tx>
            <c:strRef>
              <c:f>'dinamik-golner'!$B$28</c:f>
              <c:strCache>
                <c:ptCount val="1"/>
                <c:pt idx="0">
                  <c:v>íàðèéí áîîâ òí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27655079700404E-2"/>
                  <c:y val="-6.3542441671275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6666794699443075E-2"/>
                  <c:y val="-6.58169854937255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3496062992125994E-2"/>
                  <c:y val="-5.5987012823461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8.1544843479931267E-2"/>
                  <c:y val="-2.9172375436390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6910697138467457E-2"/>
                  <c:y val="-7.1708397990925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9.3497215287113647E-3"/>
                  <c:y val="-6.7872703290417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8374111772613852E-2"/>
                  <c:y val="-7.90148465953217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4.0081428845784493E-2"/>
                  <c:y val="-4.6375871042752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2276550797003992E-2"/>
                  <c:y val="-7.8464644425737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6666794699443048E-2"/>
                  <c:y val="-7.63431988905301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3739965431150411E-2"/>
                  <c:y val="-8.520977399306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4.0569233723833434E-2"/>
                  <c:y val="-8.5020312782675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4.0081428845784514E-2"/>
                  <c:y val="-7.8219797533427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9593623967735685E-2"/>
                  <c:y val="-7.11202119262940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4.1544843479930302E-2"/>
                  <c:y val="-7.6904201872263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8618014211638164E-2"/>
                  <c:y val="-8.506225230062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3.5691184943345444E-2"/>
                  <c:y val="-8.15260153634492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2.7886306894565165E-2"/>
                  <c:y val="-6.9226700416272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Mon"/>
                    <a:ea typeface="Arial Mon"/>
                    <a:cs typeface="Arial Mon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'dinamik-golner'!$C$27:$AH$27</c:f>
              <c:numCache>
                <c:formatCode>General</c:formatCode>
                <c:ptCount val="32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</c:numCache>
            </c:numRef>
          </c:cat>
          <c:val>
            <c:numRef>
              <c:f>'dinamik-golner'!$C$28:$AH$28</c:f>
              <c:numCache>
                <c:formatCode>General</c:formatCode>
                <c:ptCount val="32"/>
                <c:pt idx="0">
                  <c:v>0</c:v>
                </c:pt>
                <c:pt idx="1">
                  <c:v>22.1</c:v>
                </c:pt>
                <c:pt idx="2">
                  <c:v>65.5</c:v>
                </c:pt>
                <c:pt idx="3">
                  <c:v>95.1</c:v>
                </c:pt>
                <c:pt idx="4">
                  <c:v>349</c:v>
                </c:pt>
                <c:pt idx="5">
                  <c:v>596.29999999999995</c:v>
                </c:pt>
                <c:pt idx="6">
                  <c:v>325.8</c:v>
                </c:pt>
                <c:pt idx="7">
                  <c:v>334.1</c:v>
                </c:pt>
                <c:pt idx="8">
                  <c:v>80.8</c:v>
                </c:pt>
                <c:pt idx="9">
                  <c:v>76.099999999999994</c:v>
                </c:pt>
                <c:pt idx="10">
                  <c:v>28.5</c:v>
                </c:pt>
                <c:pt idx="11">
                  <c:v>22.7</c:v>
                </c:pt>
                <c:pt idx="12">
                  <c:v>29.2</c:v>
                </c:pt>
                <c:pt idx="13">
                  <c:v>17.2</c:v>
                </c:pt>
                <c:pt idx="14">
                  <c:v>24.7</c:v>
                </c:pt>
                <c:pt idx="15">
                  <c:v>36.6</c:v>
                </c:pt>
                <c:pt idx="16">
                  <c:v>46.5</c:v>
                </c:pt>
                <c:pt idx="17">
                  <c:v>78.2</c:v>
                </c:pt>
                <c:pt idx="18">
                  <c:v>82.1</c:v>
                </c:pt>
                <c:pt idx="19">
                  <c:v>104.7</c:v>
                </c:pt>
                <c:pt idx="20">
                  <c:v>80.900000000000006</c:v>
                </c:pt>
                <c:pt idx="21">
                  <c:v>95.4</c:v>
                </c:pt>
                <c:pt idx="22">
                  <c:v>149.6</c:v>
                </c:pt>
                <c:pt idx="23">
                  <c:v>197.4</c:v>
                </c:pt>
                <c:pt idx="24">
                  <c:v>147.30000000000001</c:v>
                </c:pt>
                <c:pt idx="25">
                  <c:v>182.6</c:v>
                </c:pt>
                <c:pt idx="26">
                  <c:v>216.6</c:v>
                </c:pt>
                <c:pt idx="27">
                  <c:v>199.8</c:v>
                </c:pt>
                <c:pt idx="28">
                  <c:v>211</c:v>
                </c:pt>
                <c:pt idx="29">
                  <c:v>274.8</c:v>
                </c:pt>
                <c:pt idx="30">
                  <c:v>260.60000000000002</c:v>
                </c:pt>
                <c:pt idx="31">
                  <c:v>239.7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4200992"/>
        <c:axId val="474205304"/>
      </c:lineChart>
      <c:catAx>
        <c:axId val="47420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474205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4205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4742009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 Mon"/>
          <a:ea typeface="Arial Mon"/>
          <a:cs typeface="Arial Mon"/>
        </a:defRPr>
      </a:pPr>
      <a:endParaRPr lang="en-US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r>
              <a:rPr lang="en-US"/>
              <a:t>Àðõè ìÿí ë </a:t>
            </a:r>
          </a:p>
        </c:rich>
      </c:tx>
      <c:layout>
        <c:manualLayout>
          <c:xMode val="edge"/>
          <c:yMode val="edge"/>
          <c:x val="0.43218487344254836"/>
          <c:y val="3.77358490566041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850796629841725E-2"/>
          <c:y val="0.19622677665605937"/>
          <c:w val="0.86896746804837877"/>
          <c:h val="0.62264265669712127"/>
        </c:manualLayout>
      </c:layout>
      <c:lineChart>
        <c:grouping val="standard"/>
        <c:varyColors val="0"/>
        <c:ser>
          <c:idx val="0"/>
          <c:order val="0"/>
          <c:tx>
            <c:strRef>
              <c:f>'dinamik-golner'!$B$30</c:f>
              <c:strCache>
                <c:ptCount val="1"/>
                <c:pt idx="0">
                  <c:v>àðõè ìÿí ë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4.2950183605404327E-2"/>
                  <c:y val="-6.00820880512929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0421465430489877E-2"/>
                  <c:y val="-5.1572604566917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7662884816238827E-2"/>
                  <c:y val="-8.95599010953400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6743320756702904E-2"/>
                  <c:y val="-5.7018980574217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4904304201987722E-2"/>
                  <c:y val="9.7062936101893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0076730291495594E-2"/>
                  <c:y val="-6.2107017832805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3754877703115126E-2"/>
                  <c:y val="-6.28555070830320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7318149677244496E-2"/>
                  <c:y val="-8.4038251478371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7088045888766517E-2"/>
                  <c:y val="-6.62455997093950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375475065616259E-2"/>
                  <c:y val="-8.7453351920762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1226032481248216E-2"/>
                  <c:y val="-6.22892660063097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5593881513066881E-2"/>
                  <c:y val="-7.2943734626613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9961730544885658E-2"/>
                  <c:y val="-6.1981603435102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5.1226146783437246E-2"/>
                  <c:y val="-7.84089254845874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4.4099717137367933E-2"/>
                  <c:y val="-7.9937376088091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0076720284564692E-2"/>
                  <c:y val="-8.95411488226558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3.4444569316383448E-2"/>
                  <c:y val="0.1161575640530345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8.9272937856918182E-3"/>
                  <c:y val="-6.0899616828680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7"/>
              <c:layout>
                <c:manualLayout>
                  <c:x val="1.1862396204033222E-3"/>
                  <c:y val="-5.5345911949685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 Mon"/>
                    <a:ea typeface="Arial Mon"/>
                    <a:cs typeface="Arial Mon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'dinamik-golner'!$C$29:$AH$29</c:f>
              <c:numCache>
                <c:formatCode>General</c:formatCode>
                <c:ptCount val="32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</c:numCache>
            </c:numRef>
          </c:cat>
          <c:val>
            <c:numRef>
              <c:f>'dinamik-golner'!$C$30:$AH$30</c:f>
              <c:numCache>
                <c:formatCode>General</c:formatCode>
                <c:ptCount val="32"/>
                <c:pt idx="1">
                  <c:v>4.7</c:v>
                </c:pt>
                <c:pt idx="2">
                  <c:v>8.8000000000000007</c:v>
                </c:pt>
                <c:pt idx="3">
                  <c:v>55.9</c:v>
                </c:pt>
                <c:pt idx="4">
                  <c:v>155.6</c:v>
                </c:pt>
                <c:pt idx="5">
                  <c:v>142</c:v>
                </c:pt>
                <c:pt idx="6">
                  <c:v>103.7</c:v>
                </c:pt>
                <c:pt idx="7">
                  <c:v>116.1</c:v>
                </c:pt>
                <c:pt idx="8">
                  <c:v>53</c:v>
                </c:pt>
                <c:pt idx="9">
                  <c:v>24.8</c:v>
                </c:pt>
                <c:pt idx="10">
                  <c:v>46.1</c:v>
                </c:pt>
                <c:pt idx="11">
                  <c:v>37.700000000000003</c:v>
                </c:pt>
                <c:pt idx="12">
                  <c:v>26</c:v>
                </c:pt>
                <c:pt idx="13">
                  <c:v>35.6</c:v>
                </c:pt>
                <c:pt idx="14">
                  <c:v>62.7</c:v>
                </c:pt>
                <c:pt idx="15">
                  <c:v>113.7</c:v>
                </c:pt>
                <c:pt idx="16">
                  <c:v>216.6</c:v>
                </c:pt>
                <c:pt idx="17">
                  <c:v>224.7</c:v>
                </c:pt>
                <c:pt idx="18">
                  <c:v>192.9</c:v>
                </c:pt>
                <c:pt idx="19">
                  <c:v>258.5</c:v>
                </c:pt>
                <c:pt idx="20">
                  <c:v>200</c:v>
                </c:pt>
                <c:pt idx="21">
                  <c:v>468.1</c:v>
                </c:pt>
                <c:pt idx="22">
                  <c:v>591.70000000000005</c:v>
                </c:pt>
                <c:pt idx="23">
                  <c:v>428.8</c:v>
                </c:pt>
                <c:pt idx="24">
                  <c:v>555</c:v>
                </c:pt>
                <c:pt idx="25">
                  <c:v>613.9</c:v>
                </c:pt>
                <c:pt idx="26">
                  <c:v>583.20000000000005</c:v>
                </c:pt>
                <c:pt idx="27">
                  <c:v>296.8</c:v>
                </c:pt>
                <c:pt idx="28">
                  <c:v>25.1</c:v>
                </c:pt>
                <c:pt idx="29">
                  <c:v>17.100000000000001</c:v>
                </c:pt>
                <c:pt idx="30">
                  <c:v>41.2</c:v>
                </c:pt>
                <c:pt idx="31">
                  <c:v>5.5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4201776"/>
        <c:axId val="474200208"/>
      </c:lineChart>
      <c:catAx>
        <c:axId val="47420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47420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42002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474201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Mon"/>
          <a:ea typeface="Arial Mon"/>
          <a:cs typeface="Arial Mon"/>
        </a:defRPr>
      </a:pPr>
      <a:endParaRPr lang="en-US"/>
    </a:p>
  </c:txPr>
  <c:printSettings>
    <c:headerFooter alignWithMargins="0"/>
    <c:pageMargins b="1" l="0.75000000000000411" r="0.75000000000000411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r>
              <a:rPr lang="en-US"/>
              <a:t>Àëò  ,  êã</a:t>
            </a:r>
          </a:p>
        </c:rich>
      </c:tx>
      <c:layout>
        <c:manualLayout>
          <c:xMode val="edge"/>
          <c:yMode val="edge"/>
          <c:x val="0.42821782178217832"/>
          <c:y val="3.9682539682539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450464334160079E-2"/>
          <c:y val="0.19709078031912683"/>
          <c:w val="0.91560798296439361"/>
          <c:h val="0.682542327560483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'dinamik-golner'!$B$32</c:f>
              <c:strCache>
                <c:ptCount val="1"/>
                <c:pt idx="0">
                  <c:v>àëò êã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588796770774125E-3"/>
                  <c:y val="-1.8920551597716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2882278604063403E-4"/>
                  <c:y val="-2.5335583052118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3966124604794547E-3"/>
                  <c:y val="-1.8790984460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8416123910437173E-4"/>
                  <c:y val="-2.1057784443611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9802617265434422E-2"/>
                  <c:y val="-1.613923259592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4.8588370898082186E-3"/>
                  <c:y val="-1.9115527225763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7.6170108366083854E-3"/>
                  <c:y val="-1.3761613131691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3451050100218975E-3"/>
                  <c:y val="1.766445860934051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2.4265485332851905E-3"/>
                  <c:y val="-9.87751531058618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4.57368754831572E-3"/>
                  <c:y val="-1.949506311711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Mon"/>
                    <a:ea typeface="Arial Mon"/>
                    <a:cs typeface="Arial Mo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'dinamik-golner'!$C$31:$V$31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'dinamik-golner'!$C$32:$V$32</c:f>
              <c:numCache>
                <c:formatCode>General</c:formatCode>
                <c:ptCount val="20"/>
                <c:pt idx="0">
                  <c:v>1.4</c:v>
                </c:pt>
                <c:pt idx="1">
                  <c:v>3.1</c:v>
                </c:pt>
                <c:pt idx="2">
                  <c:v>4.5</c:v>
                </c:pt>
                <c:pt idx="3">
                  <c:v>33</c:v>
                </c:pt>
                <c:pt idx="4">
                  <c:v>315.8</c:v>
                </c:pt>
                <c:pt idx="5">
                  <c:v>319.7</c:v>
                </c:pt>
                <c:pt idx="6">
                  <c:v>256.89999999999998</c:v>
                </c:pt>
                <c:pt idx="7">
                  <c:v>71.5</c:v>
                </c:pt>
                <c:pt idx="8">
                  <c:v>104.6</c:v>
                </c:pt>
                <c:pt idx="9">
                  <c:v>90.9</c:v>
                </c:pt>
                <c:pt idx="10">
                  <c:v>59</c:v>
                </c:pt>
                <c:pt idx="11">
                  <c:v>53.7</c:v>
                </c:pt>
                <c:pt idx="12">
                  <c:v>52.2</c:v>
                </c:pt>
                <c:pt idx="13">
                  <c:v>30</c:v>
                </c:pt>
                <c:pt idx="14">
                  <c:v>33</c:v>
                </c:pt>
                <c:pt idx="15">
                  <c:v>33.700000000000003</c:v>
                </c:pt>
                <c:pt idx="16">
                  <c:v>2.8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74207656"/>
        <c:axId val="474202560"/>
      </c:barChart>
      <c:catAx>
        <c:axId val="474207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474202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4202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4742076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 Mon"/>
          <a:ea typeface="Arial Mon"/>
          <a:cs typeface="Arial Mon"/>
        </a:defRPr>
      </a:pPr>
      <a:endParaRPr lang="en-US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626844491328535"/>
          <c:y val="3.9682539682539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Mon"/>
              <a:ea typeface="Arial Mon"/>
              <a:cs typeface="Arial Mo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985724181514689E-2"/>
          <c:y val="0.17460385123640271"/>
          <c:w val="0.93217196299149963"/>
          <c:h val="0.70635194363818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'dinamik-golner'!$B$34</c:f>
              <c:strCache>
                <c:ptCount val="1"/>
                <c:pt idx="0">
                  <c:v>í¿¿ðñ ìÿí.òí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5.4681331555282023E-3"/>
                  <c:y val="-4.5272993072300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4666637719327842E-3"/>
                  <c:y val="-5.242348768002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0348347219018493E-3"/>
                  <c:y val="-0.1331793942964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1436765382844441E-3"/>
                  <c:y val="-0.288344623891921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4.1451459218798861E-3"/>
                  <c:y val="-0.23269945147330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3619207210814597E-3"/>
                  <c:y val="-0.17523071086085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7557373968738831E-3"/>
                  <c:y val="-0.11052664004463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5.9722610312987817E-3"/>
                  <c:y val="-0.107526135634502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6.5813831226972192E-3"/>
                  <c:y val="-9.5268825518565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2.4058106297017942E-3"/>
                  <c:y val="-9.9664526055999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7.7996273054942462E-3"/>
                  <c:y val="-0.104628026145303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6.0164021046956858E-3"/>
                  <c:y val="-8.4341781166025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6.6252730313175129E-3"/>
                  <c:y val="-0.107125661367468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4.8420478305189986E-3"/>
                  <c:y val="-9.9664526055999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6.6647533752353509E-4"/>
                  <c:y val="-9.6817428083095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1.0844986597709884E-2"/>
                  <c:y val="-0.101678533251466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9.0617613969113716E-3"/>
                  <c:y val="-0.102266330303652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9.6706323235333583E-3"/>
                  <c:y val="-0.116514101905634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 Mon"/>
                    <a:ea typeface="Arial Mon"/>
                    <a:cs typeface="Arial Mo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'dinamik-golner'!$C$33:$AH$33</c:f>
              <c:numCache>
                <c:formatCode>General</c:formatCode>
                <c:ptCount val="32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</c:numCache>
            </c:numRef>
          </c:cat>
          <c:val>
            <c:numRef>
              <c:f>'dinamik-golner'!$C$34:$AH$34</c:f>
              <c:numCache>
                <c:formatCode>General</c:formatCode>
                <c:ptCount val="32"/>
                <c:pt idx="2">
                  <c:v>10</c:v>
                </c:pt>
                <c:pt idx="3">
                  <c:v>23.6</c:v>
                </c:pt>
                <c:pt idx="4">
                  <c:v>76.3</c:v>
                </c:pt>
                <c:pt idx="5">
                  <c:v>213</c:v>
                </c:pt>
                <c:pt idx="6">
                  <c:v>157.4</c:v>
                </c:pt>
                <c:pt idx="7">
                  <c:v>110</c:v>
                </c:pt>
                <c:pt idx="8">
                  <c:v>60.5</c:v>
                </c:pt>
                <c:pt idx="9">
                  <c:v>53.8</c:v>
                </c:pt>
                <c:pt idx="10">
                  <c:v>53</c:v>
                </c:pt>
                <c:pt idx="11">
                  <c:v>41.8</c:v>
                </c:pt>
                <c:pt idx="12">
                  <c:v>37</c:v>
                </c:pt>
                <c:pt idx="13">
                  <c:v>38.4</c:v>
                </c:pt>
                <c:pt idx="14">
                  <c:v>33.200000000000003</c:v>
                </c:pt>
                <c:pt idx="15">
                  <c:v>41.8</c:v>
                </c:pt>
                <c:pt idx="16">
                  <c:v>52.9</c:v>
                </c:pt>
                <c:pt idx="17">
                  <c:v>58.2</c:v>
                </c:pt>
                <c:pt idx="18">
                  <c:v>48.8</c:v>
                </c:pt>
                <c:pt idx="19">
                  <c:v>40</c:v>
                </c:pt>
                <c:pt idx="20">
                  <c:v>40.299999999999997</c:v>
                </c:pt>
                <c:pt idx="21">
                  <c:v>40.200000000000003</c:v>
                </c:pt>
                <c:pt idx="22">
                  <c:v>40.9</c:v>
                </c:pt>
                <c:pt idx="23">
                  <c:v>51.3</c:v>
                </c:pt>
                <c:pt idx="24">
                  <c:v>54</c:v>
                </c:pt>
                <c:pt idx="25">
                  <c:v>55.4</c:v>
                </c:pt>
                <c:pt idx="26">
                  <c:v>86.8</c:v>
                </c:pt>
                <c:pt idx="27">
                  <c:v>50.2</c:v>
                </c:pt>
                <c:pt idx="28">
                  <c:v>69.900000000000006</c:v>
                </c:pt>
                <c:pt idx="29">
                  <c:v>72.099999999999994</c:v>
                </c:pt>
                <c:pt idx="30">
                  <c:v>90.6</c:v>
                </c:pt>
                <c:pt idx="31">
                  <c:v>88.6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75569312"/>
        <c:axId val="475571664"/>
      </c:barChart>
      <c:catAx>
        <c:axId val="47556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47557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5571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475569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 Mon"/>
          <a:ea typeface="Arial Mon"/>
          <a:cs typeface="Arial Mon"/>
        </a:defRPr>
      </a:pPr>
      <a:endParaRPr lang="en-US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7894781047105952"/>
          <c:y val="3.83275261324041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Mon"/>
              <a:ea typeface="Arial Mon"/>
              <a:cs typeface="Arial Mo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75167188147791"/>
          <c:y val="0.17305458768873402"/>
          <c:w val="0.86947457799607164"/>
          <c:h val="0.67595818815331365"/>
        </c:manualLayout>
      </c:layout>
      <c:lineChart>
        <c:grouping val="standard"/>
        <c:varyColors val="0"/>
        <c:ser>
          <c:idx val="0"/>
          <c:order val="0"/>
          <c:tx>
            <c:strRef>
              <c:f>'dinamik-golner'!$B$36</c:f>
              <c:strCache>
                <c:ptCount val="1"/>
                <c:pt idx="0">
                  <c:v>öàõèëãààí ìÿí.êâò.öàã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-1.5242708406369347E-2"/>
                  <c:y val="-8.14021418054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0333138652804589E-2"/>
                  <c:y val="-8.3333241881350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4493209337191426E-2"/>
                  <c:y val="-0.1031732009108617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5.9208811424497222E-2"/>
                  <c:y val="-2.44037787959432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Mon"/>
                      <a:ea typeface="Arial Mon"/>
                      <a:cs typeface="Arial Mon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3.25203252032520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Mon"/>
                      <a:ea typeface="Arial Mon"/>
                      <a:cs typeface="Arial Mon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6.0173543474689945E-3"/>
                  <c:y val="-5.20383732521240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884873137916509E-3"/>
                  <c:y val="-7.5956724921579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9.730943122637449E-4"/>
                  <c:y val="-8.0467868345725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0974252405494705E-3"/>
                  <c:y val="-8.50404675025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6.257310926017637E-3"/>
                  <c:y val="-7.9253386009675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1394268400501199E-2"/>
                  <c:y val="-8.45715017330150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202992468509022E-2"/>
                  <c:y val="-7.8980127484064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1979327480830878E-2"/>
                  <c:y val="-8.4563088150566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3394199210905618E-2"/>
                  <c:y val="-8.4789523260811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4029855495494629E-2"/>
                  <c:y val="-7.3320347151727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0943703534052843E-2"/>
                  <c:y val="-7.50575690233841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2114099193090217E-2"/>
                  <c:y val="-7.9704792998436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1.1747523835723103E-2"/>
                  <c:y val="-6.50406504065040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2922174469890231E-2"/>
                  <c:y val="-6.9686411149825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-1.2922174469890144E-2"/>
                  <c:y val="-6.50406504065040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-1.5271660737142995E-2"/>
                  <c:y val="-5.5749494727793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 Mon"/>
                    <a:ea typeface="Arial Mon"/>
                    <a:cs typeface="Arial Mon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'dinamik-golner'!$C$35:$AF$35</c:f>
              <c:numCache>
                <c:formatCode>General</c:formatCode>
                <c:ptCount val="3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</c:numCache>
            </c:numRef>
          </c:cat>
          <c:val>
            <c:numRef>
              <c:f>'dinamik-golner'!$C$36:$AF$36</c:f>
              <c:numCache>
                <c:formatCode>General</c:formatCode>
                <c:ptCount val="30"/>
                <c:pt idx="2">
                  <c:v>28.5</c:v>
                </c:pt>
                <c:pt idx="3">
                  <c:v>3483</c:v>
                </c:pt>
                <c:pt idx="4">
                  <c:v>8683.9</c:v>
                </c:pt>
                <c:pt idx="5">
                  <c:v>26689.599999999999</c:v>
                </c:pt>
                <c:pt idx="6">
                  <c:v>25363.4</c:v>
                </c:pt>
                <c:pt idx="7">
                  <c:v>21425</c:v>
                </c:pt>
                <c:pt idx="8">
                  <c:v>15248.7</c:v>
                </c:pt>
                <c:pt idx="9">
                  <c:v>12434.6</c:v>
                </c:pt>
                <c:pt idx="10">
                  <c:v>8145.2</c:v>
                </c:pt>
                <c:pt idx="11">
                  <c:v>1500</c:v>
                </c:pt>
                <c:pt idx="12">
                  <c:v>812</c:v>
                </c:pt>
                <c:pt idx="13">
                  <c:v>987.3</c:v>
                </c:pt>
                <c:pt idx="14">
                  <c:v>513.79999999999995</c:v>
                </c:pt>
                <c:pt idx="15">
                  <c:v>575.29999999999995</c:v>
                </c:pt>
                <c:pt idx="16">
                  <c:v>616.79999999999995</c:v>
                </c:pt>
                <c:pt idx="17">
                  <c:v>661.9</c:v>
                </c:pt>
                <c:pt idx="18">
                  <c:v>584.79999999999995</c:v>
                </c:pt>
                <c:pt idx="19">
                  <c:v>430.1</c:v>
                </c:pt>
                <c:pt idx="20">
                  <c:v>169.7</c:v>
                </c:pt>
                <c:pt idx="21">
                  <c:v>196.9</c:v>
                </c:pt>
                <c:pt idx="22">
                  <c:v>157.19999999999999</c:v>
                </c:pt>
                <c:pt idx="23">
                  <c:v>63.6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4201384"/>
        <c:axId val="475934048"/>
      </c:lineChart>
      <c:catAx>
        <c:axId val="474201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47593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59340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474201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Mon"/>
          <a:ea typeface="Arial Mon"/>
          <a:cs typeface="Arial Mon"/>
        </a:defRPr>
      </a:pPr>
      <a:endParaRPr lang="en-US"/>
    </a:p>
  </c:txPr>
  <c:printSettings>
    <c:headerFooter alignWithMargins="0"/>
    <c:pageMargins b="1" l="0.75000000000000411" r="0.750000000000004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2586305999355"/>
          <c:y val="3.8732394366197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Mon"/>
              <a:ea typeface="Arial Mon"/>
              <a:cs typeface="Arial Mo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878723149327932E-2"/>
          <c:y val="0.15140845070422757"/>
          <c:w val="0.91556846188630803"/>
          <c:h val="0.74295774647888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'dinamik-golner'!$B$39</c:f>
              <c:strCache>
                <c:ptCount val="1"/>
                <c:pt idx="0">
                  <c:v>äóëààí ìÿí.ã.êàë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4721854974478923E-4"/>
                  <c:y val="1.7848878045174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2570715118591743E-3"/>
                  <c:y val="4.439761931166895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2322835746701491E-2"/>
                  <c:y val="1.6012716720269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1962478579636534E-3"/>
                  <c:y val="-2.49343832020998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6234862660441395E-3"/>
                  <c:y val="8.06994196148013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9.0507246741247712E-3"/>
                  <c:y val="-1.0223651621012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3.5623856019200498E-3"/>
                  <c:y val="1.6931721562973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8.6281498367623485E-3"/>
                  <c:y val="-1.1097926139514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8.4168624180811068E-3"/>
                  <c:y val="1.1618424457506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0844100826161589E-2"/>
                  <c:y val="1.18239621455769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5.3557617539569504E-3"/>
                  <c:y val="1.0131972940002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1.0421802999027821E-2"/>
                  <c:y val="2.23023178440736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1.021051558034659E-2"/>
                  <c:y val="8.73904846401249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7.3607023349037291E-3"/>
                  <c:y val="3.25385383165142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9.7879407429841917E-3"/>
                  <c:y val="-9.73161805478539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 Mon"/>
                    <a:ea typeface="Arial Mon"/>
                    <a:cs typeface="Arial Mo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'dinamik-golner'!$C$38:$AC$38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'dinamik-golner'!$C$39:$AC$39</c:f>
              <c:numCache>
                <c:formatCode>General</c:formatCode>
                <c:ptCount val="27"/>
                <c:pt idx="0">
                  <c:v>120.4</c:v>
                </c:pt>
                <c:pt idx="1">
                  <c:v>203.3</c:v>
                </c:pt>
                <c:pt idx="2">
                  <c:v>146.1</c:v>
                </c:pt>
                <c:pt idx="3">
                  <c:v>100.6</c:v>
                </c:pt>
                <c:pt idx="4">
                  <c:v>100.6</c:v>
                </c:pt>
                <c:pt idx="5">
                  <c:v>34</c:v>
                </c:pt>
                <c:pt idx="6">
                  <c:v>49.1</c:v>
                </c:pt>
                <c:pt idx="7">
                  <c:v>36.6</c:v>
                </c:pt>
                <c:pt idx="8">
                  <c:v>33</c:v>
                </c:pt>
                <c:pt idx="9">
                  <c:v>27.2</c:v>
                </c:pt>
                <c:pt idx="10">
                  <c:v>40</c:v>
                </c:pt>
                <c:pt idx="11">
                  <c:v>53.9</c:v>
                </c:pt>
                <c:pt idx="12">
                  <c:v>51.2</c:v>
                </c:pt>
                <c:pt idx="13">
                  <c:v>50.5</c:v>
                </c:pt>
                <c:pt idx="14">
                  <c:v>53</c:v>
                </c:pt>
                <c:pt idx="15">
                  <c:v>52.1</c:v>
                </c:pt>
                <c:pt idx="16">
                  <c:v>55.2</c:v>
                </c:pt>
                <c:pt idx="17">
                  <c:v>63.5</c:v>
                </c:pt>
                <c:pt idx="18">
                  <c:v>62.3</c:v>
                </c:pt>
                <c:pt idx="19">
                  <c:v>68.2</c:v>
                </c:pt>
                <c:pt idx="20">
                  <c:v>78</c:v>
                </c:pt>
                <c:pt idx="21">
                  <c:v>76.2</c:v>
                </c:pt>
                <c:pt idx="22">
                  <c:v>106.5</c:v>
                </c:pt>
                <c:pt idx="23">
                  <c:v>117.1</c:v>
                </c:pt>
                <c:pt idx="24">
                  <c:v>129</c:v>
                </c:pt>
                <c:pt idx="25">
                  <c:v>145.5</c:v>
                </c:pt>
                <c:pt idx="26">
                  <c:v>165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75929736"/>
        <c:axId val="475932872"/>
      </c:barChart>
      <c:catAx>
        <c:axId val="47592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475932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5932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47592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 Mon"/>
          <a:ea typeface="Arial Mon"/>
          <a:cs typeface="Arial Mon"/>
        </a:defRPr>
      </a:pPr>
      <a:endParaRPr lang="en-US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r>
              <a:rPr lang="mn-MN">
                <a:latin typeface="Arial" pitchFamily="34" charset="0"/>
                <a:cs typeface="Arial" pitchFamily="34" charset="0"/>
              </a:rPr>
              <a:t>эрчим</a:t>
            </a:r>
            <a:r>
              <a:rPr lang="mn-MN" baseline="0">
                <a:latin typeface="Arial" pitchFamily="34" charset="0"/>
                <a:cs typeface="Arial" pitchFamily="34" charset="0"/>
              </a:rPr>
              <a:t> хүч хүнс ундааны үйлдвэрлэлт</a:t>
            </a:r>
            <a:endParaRPr lang="en-US"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1224511377825453"/>
          <c:y val="3.69005540974044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882091525560429E-2"/>
          <c:y val="0.23493273672894224"/>
          <c:w val="0.91697085664030553"/>
          <c:h val="0.50184592266404371"/>
        </c:manualLayout>
      </c:layout>
      <c:lineChart>
        <c:grouping val="standard"/>
        <c:varyColors val="0"/>
        <c:ser>
          <c:idx val="0"/>
          <c:order val="0"/>
          <c:tx>
            <c:strRef>
              <c:f>'динамик НБ'!$AL$85</c:f>
              <c:strCache>
                <c:ptCount val="1"/>
                <c:pt idx="0">
                  <c:v>цахилгаан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'динамик НБ'!$AM$83:$BF$84</c:f>
              <c:strCache>
                <c:ptCount val="2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</c:strCache>
            </c:strRef>
          </c:cat>
          <c:val>
            <c:numRef>
              <c:f>'динамик НБ'!$AM$85:$BF$85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83.7</c:v>
                </c:pt>
                <c:pt idx="3">
                  <c:v>1023.6</c:v>
                </c:pt>
                <c:pt idx="4">
                  <c:v>2549.1999999999998</c:v>
                </c:pt>
                <c:pt idx="5">
                  <c:v>7844.1</c:v>
                </c:pt>
                <c:pt idx="6">
                  <c:v>169.1</c:v>
                </c:pt>
                <c:pt idx="7">
                  <c:v>181.2</c:v>
                </c:pt>
                <c:pt idx="8">
                  <c:v>194.5</c:v>
                </c:pt>
                <c:pt idx="9">
                  <c:v>171.5</c:v>
                </c:pt>
                <c:pt idx="10">
                  <c:v>126.4</c:v>
                </c:pt>
                <c:pt idx="11">
                  <c:v>57.8</c:v>
                </c:pt>
                <c:pt idx="12">
                  <c:v>57.8</c:v>
                </c:pt>
                <c:pt idx="13">
                  <c:v>46.2</c:v>
                </c:pt>
                <c:pt idx="14">
                  <c:v>18.7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'динамик НБ'!$AL$86</c:f>
              <c:strCache>
                <c:ptCount val="1"/>
                <c:pt idx="0">
                  <c:v>дулаан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'динамик НБ'!$AM$83:$BF$84</c:f>
              <c:strCache>
                <c:ptCount val="2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</c:strCache>
            </c:strRef>
          </c:cat>
          <c:val>
            <c:numRef>
              <c:f>'динамик НБ'!$AM$86:$BF$86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1652.3</c:v>
                </c:pt>
                <c:pt idx="6">
                  <c:v>540.70000000000005</c:v>
                </c:pt>
                <c:pt idx="7">
                  <c:v>594.20000000000005</c:v>
                </c:pt>
                <c:pt idx="8">
                  <c:v>603.79999999999995</c:v>
                </c:pt>
                <c:pt idx="9">
                  <c:v>14.7</c:v>
                </c:pt>
                <c:pt idx="10">
                  <c:v>727.4</c:v>
                </c:pt>
                <c:pt idx="11">
                  <c:v>715</c:v>
                </c:pt>
                <c:pt idx="12">
                  <c:v>757.6</c:v>
                </c:pt>
                <c:pt idx="13">
                  <c:v>871.5</c:v>
                </c:pt>
                <c:pt idx="14">
                  <c:v>855</c:v>
                </c:pt>
                <c:pt idx="15">
                  <c:v>936</c:v>
                </c:pt>
                <c:pt idx="16">
                  <c:v>1070.5</c:v>
                </c:pt>
                <c:pt idx="17" formatCode="0.0">
                  <c:v>1045.8</c:v>
                </c:pt>
                <c:pt idx="18">
                  <c:v>1461.6</c:v>
                </c:pt>
                <c:pt idx="19">
                  <c:v>1680.7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'динамик НБ'!$AL$87</c:f>
              <c:strCache>
                <c:ptCount val="1"/>
                <c:pt idx="0">
                  <c:v>хүнс ундааны үйлдвэрлэлт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'динамик НБ'!$AM$83:$BF$84</c:f>
              <c:strCache>
                <c:ptCount val="2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</c:strCache>
            </c:strRef>
          </c:cat>
          <c:val>
            <c:numRef>
              <c:f>'динамик НБ'!$AM$87:$BF$87</c:f>
              <c:numCache>
                <c:formatCode>General</c:formatCode>
                <c:ptCount val="20"/>
                <c:pt idx="0">
                  <c:v>80.599999999999994</c:v>
                </c:pt>
                <c:pt idx="1">
                  <c:v>402.3</c:v>
                </c:pt>
                <c:pt idx="2">
                  <c:v>1251.5</c:v>
                </c:pt>
                <c:pt idx="3">
                  <c:v>1342.3</c:v>
                </c:pt>
                <c:pt idx="4">
                  <c:v>2960</c:v>
                </c:pt>
                <c:pt idx="5">
                  <c:v>4925.3</c:v>
                </c:pt>
                <c:pt idx="6">
                  <c:v>400.2</c:v>
                </c:pt>
                <c:pt idx="7">
                  <c:v>722.6</c:v>
                </c:pt>
                <c:pt idx="8">
                  <c:v>815.9</c:v>
                </c:pt>
                <c:pt idx="9">
                  <c:v>242.8</c:v>
                </c:pt>
                <c:pt idx="10">
                  <c:v>885.3</c:v>
                </c:pt>
                <c:pt idx="11">
                  <c:v>703.5</c:v>
                </c:pt>
                <c:pt idx="12">
                  <c:v>1569.6</c:v>
                </c:pt>
                <c:pt idx="13">
                  <c:v>2100</c:v>
                </c:pt>
                <c:pt idx="14">
                  <c:v>2257.3000000000002</c:v>
                </c:pt>
                <c:pt idx="15">
                  <c:v>3017.1</c:v>
                </c:pt>
                <c:pt idx="16">
                  <c:v>3333.2</c:v>
                </c:pt>
                <c:pt idx="17" formatCode="0.0">
                  <c:v>3658.4</c:v>
                </c:pt>
                <c:pt idx="18">
                  <c:v>1427.6</c:v>
                </c:pt>
                <c:pt idx="19">
                  <c:v>1162.2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31696"/>
        <c:axId val="475927776"/>
      </c:lineChart>
      <c:catAx>
        <c:axId val="47593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47592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5927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75931696"/>
        <c:crosses val="autoZero"/>
        <c:crossBetween val="between"/>
      </c:valAx>
      <c:spPr>
        <a:solidFill>
          <a:schemeClr val="bg2">
            <a:lumMod val="90000"/>
          </a:schemeClr>
        </a:solidFill>
        <a:ln w="12700">
          <a:solidFill>
            <a:srgbClr val="CC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938791631628572"/>
          <c:y val="0.8966804704967436"/>
          <c:w val="0.75798289972250787"/>
          <c:h val="8.3431515505006298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Mon" pitchFamily="34" charset="0"/>
          <a:ea typeface="Arial"/>
          <a:cs typeface="Arial"/>
        </a:defRPr>
      </a:pPr>
      <a:endParaRPr lang="en-US"/>
    </a:p>
  </c:txPr>
  <c:printSettings>
    <c:headerFooter alignWithMargins="0"/>
    <c:pageMargins b="1" l="0.75000000000000411" r="0.750000000000004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13" Type="http://schemas.openxmlformats.org/officeDocument/2006/relationships/chart" Target="../charts/chart21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12" Type="http://schemas.openxmlformats.org/officeDocument/2006/relationships/chart" Target="../charts/chart20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11" Type="http://schemas.openxmlformats.org/officeDocument/2006/relationships/chart" Target="../charts/chart19.xml"/><Relationship Id="rId5" Type="http://schemas.openxmlformats.org/officeDocument/2006/relationships/chart" Target="../charts/chart13.xml"/><Relationship Id="rId10" Type="http://schemas.openxmlformats.org/officeDocument/2006/relationships/chart" Target="../charts/chart18.xml"/><Relationship Id="rId4" Type="http://schemas.openxmlformats.org/officeDocument/2006/relationships/chart" Target="../charts/chart12.xml"/><Relationship Id="rId9" Type="http://schemas.openxmlformats.org/officeDocument/2006/relationships/chart" Target="../charts/chart17.xml"/><Relationship Id="rId1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40</xdr:row>
      <xdr:rowOff>19050</xdr:rowOff>
    </xdr:from>
    <xdr:to>
      <xdr:col>29</xdr:col>
      <xdr:colOff>276225</xdr:colOff>
      <xdr:row>54</xdr:row>
      <xdr:rowOff>95250</xdr:rowOff>
    </xdr:to>
    <xdr:graphicFrame macro="">
      <xdr:nvGraphicFramePr>
        <xdr:cNvPr id="11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238124</xdr:colOff>
      <xdr:row>54</xdr:row>
      <xdr:rowOff>123825</xdr:rowOff>
    </xdr:from>
    <xdr:to>
      <xdr:col>29</xdr:col>
      <xdr:colOff>266699</xdr:colOff>
      <xdr:row>69</xdr:row>
      <xdr:rowOff>47625</xdr:rowOff>
    </xdr:to>
    <xdr:graphicFrame macro="">
      <xdr:nvGraphicFramePr>
        <xdr:cNvPr id="118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70</xdr:row>
      <xdr:rowOff>19050</xdr:rowOff>
    </xdr:from>
    <xdr:to>
      <xdr:col>29</xdr:col>
      <xdr:colOff>333375</xdr:colOff>
      <xdr:row>86</xdr:row>
      <xdr:rowOff>9525</xdr:rowOff>
    </xdr:to>
    <xdr:graphicFrame macro="">
      <xdr:nvGraphicFramePr>
        <xdr:cNvPr id="118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87</xdr:row>
      <xdr:rowOff>38100</xdr:rowOff>
    </xdr:from>
    <xdr:to>
      <xdr:col>29</xdr:col>
      <xdr:colOff>295275</xdr:colOff>
      <xdr:row>102</xdr:row>
      <xdr:rowOff>133350</xdr:rowOff>
    </xdr:to>
    <xdr:graphicFrame macro="">
      <xdr:nvGraphicFramePr>
        <xdr:cNvPr id="118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238125</xdr:colOff>
      <xdr:row>104</xdr:row>
      <xdr:rowOff>76200</xdr:rowOff>
    </xdr:from>
    <xdr:to>
      <xdr:col>29</xdr:col>
      <xdr:colOff>333375</xdr:colOff>
      <xdr:row>119</xdr:row>
      <xdr:rowOff>47625</xdr:rowOff>
    </xdr:to>
    <xdr:graphicFrame macro="">
      <xdr:nvGraphicFramePr>
        <xdr:cNvPr id="118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19050</xdr:colOff>
      <xdr:row>120</xdr:row>
      <xdr:rowOff>0</xdr:rowOff>
    </xdr:from>
    <xdr:to>
      <xdr:col>29</xdr:col>
      <xdr:colOff>342900</xdr:colOff>
      <xdr:row>134</xdr:row>
      <xdr:rowOff>66674</xdr:rowOff>
    </xdr:to>
    <xdr:graphicFrame macro="">
      <xdr:nvGraphicFramePr>
        <xdr:cNvPr id="118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28576</xdr:colOff>
      <xdr:row>152</xdr:row>
      <xdr:rowOff>57150</xdr:rowOff>
    </xdr:from>
    <xdr:to>
      <xdr:col>30</xdr:col>
      <xdr:colOff>19050</xdr:colOff>
      <xdr:row>169</xdr:row>
      <xdr:rowOff>38100</xdr:rowOff>
    </xdr:to>
    <xdr:graphicFrame macro="">
      <xdr:nvGraphicFramePr>
        <xdr:cNvPr id="118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</xdr:colOff>
      <xdr:row>135</xdr:row>
      <xdr:rowOff>47625</xdr:rowOff>
    </xdr:from>
    <xdr:to>
      <xdr:col>29</xdr:col>
      <xdr:colOff>361950</xdr:colOff>
      <xdr:row>152</xdr:row>
      <xdr:rowOff>0</xdr:rowOff>
    </xdr:to>
    <xdr:graphicFrame macro="">
      <xdr:nvGraphicFramePr>
        <xdr:cNvPr id="118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76200</xdr:colOff>
      <xdr:row>74</xdr:row>
      <xdr:rowOff>9525</xdr:rowOff>
    </xdr:from>
    <xdr:to>
      <xdr:col>66</xdr:col>
      <xdr:colOff>561975</xdr:colOff>
      <xdr:row>89</xdr:row>
      <xdr:rowOff>152400</xdr:rowOff>
    </xdr:to>
    <xdr:graphicFrame macro="">
      <xdr:nvGraphicFramePr>
        <xdr:cNvPr id="3133" name="Chart 10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38100</xdr:colOff>
      <xdr:row>94</xdr:row>
      <xdr:rowOff>66675</xdr:rowOff>
    </xdr:from>
    <xdr:to>
      <xdr:col>57</xdr:col>
      <xdr:colOff>209550</xdr:colOff>
      <xdr:row>110</xdr:row>
      <xdr:rowOff>57150</xdr:rowOff>
    </xdr:to>
    <xdr:graphicFrame macro="">
      <xdr:nvGraphicFramePr>
        <xdr:cNvPr id="3134" name="Chart 10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152400</xdr:colOff>
      <xdr:row>91</xdr:row>
      <xdr:rowOff>0</xdr:rowOff>
    </xdr:from>
    <xdr:to>
      <xdr:col>33</xdr:col>
      <xdr:colOff>457200</xdr:colOff>
      <xdr:row>107</xdr:row>
      <xdr:rowOff>152400</xdr:rowOff>
    </xdr:to>
    <xdr:graphicFrame macro="">
      <xdr:nvGraphicFramePr>
        <xdr:cNvPr id="313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69</xdr:col>
      <xdr:colOff>228600</xdr:colOff>
      <xdr:row>45</xdr:row>
      <xdr:rowOff>142875</xdr:rowOff>
    </xdr:from>
    <xdr:to>
      <xdr:col>93</xdr:col>
      <xdr:colOff>400048</xdr:colOff>
      <xdr:row>62</xdr:row>
      <xdr:rowOff>104775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66</xdr:col>
      <xdr:colOff>247650</xdr:colOff>
      <xdr:row>96</xdr:row>
      <xdr:rowOff>57150</xdr:rowOff>
    </xdr:from>
    <xdr:to>
      <xdr:col>89</xdr:col>
      <xdr:colOff>304799</xdr:colOff>
      <xdr:row>113</xdr:row>
      <xdr:rowOff>47625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91</xdr:col>
      <xdr:colOff>171448</xdr:colOff>
      <xdr:row>79</xdr:row>
      <xdr:rowOff>19050</xdr:rowOff>
    </xdr:from>
    <xdr:to>
      <xdr:col>111</xdr:col>
      <xdr:colOff>228599</xdr:colOff>
      <xdr:row>96</xdr:row>
      <xdr:rowOff>9525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67</xdr:col>
      <xdr:colOff>0</xdr:colOff>
      <xdr:row>155</xdr:row>
      <xdr:rowOff>9525</xdr:rowOff>
    </xdr:from>
    <xdr:to>
      <xdr:col>74</xdr:col>
      <xdr:colOff>390525</xdr:colOff>
      <xdr:row>172</xdr:row>
      <xdr:rowOff>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74</xdr:col>
      <xdr:colOff>371475</xdr:colOff>
      <xdr:row>155</xdr:row>
      <xdr:rowOff>9525</xdr:rowOff>
    </xdr:from>
    <xdr:to>
      <xdr:col>85</xdr:col>
      <xdr:colOff>352425</xdr:colOff>
      <xdr:row>172</xdr:row>
      <xdr:rowOff>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66</xdr:col>
      <xdr:colOff>590550</xdr:colOff>
      <xdr:row>172</xdr:row>
      <xdr:rowOff>19050</xdr:rowOff>
    </xdr:from>
    <xdr:to>
      <xdr:col>74</xdr:col>
      <xdr:colOff>381000</xdr:colOff>
      <xdr:row>189</xdr:row>
      <xdr:rowOff>9525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74</xdr:col>
      <xdr:colOff>361950</xdr:colOff>
      <xdr:row>172</xdr:row>
      <xdr:rowOff>19050</xdr:rowOff>
    </xdr:from>
    <xdr:to>
      <xdr:col>86</xdr:col>
      <xdr:colOff>0</xdr:colOff>
      <xdr:row>189</xdr:row>
      <xdr:rowOff>9525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67</xdr:col>
      <xdr:colOff>9525</xdr:colOff>
      <xdr:row>194</xdr:row>
      <xdr:rowOff>28575</xdr:rowOff>
    </xdr:from>
    <xdr:to>
      <xdr:col>74</xdr:col>
      <xdr:colOff>400050</xdr:colOff>
      <xdr:row>211</xdr:row>
      <xdr:rowOff>19050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74</xdr:col>
      <xdr:colOff>295275</xdr:colOff>
      <xdr:row>212</xdr:row>
      <xdr:rowOff>38100</xdr:rowOff>
    </xdr:from>
    <xdr:to>
      <xdr:col>85</xdr:col>
      <xdr:colOff>371475</xdr:colOff>
      <xdr:row>231</xdr:row>
      <xdr:rowOff>66675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99</xdr:col>
      <xdr:colOff>76200</xdr:colOff>
      <xdr:row>194</xdr:row>
      <xdr:rowOff>95250</xdr:rowOff>
    </xdr:from>
    <xdr:to>
      <xdr:col>118</xdr:col>
      <xdr:colOff>257175</xdr:colOff>
      <xdr:row>217</xdr:row>
      <xdr:rowOff>104775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91</xdr:col>
      <xdr:colOff>266700</xdr:colOff>
      <xdr:row>243</xdr:row>
      <xdr:rowOff>9525</xdr:rowOff>
    </xdr:from>
    <xdr:to>
      <xdr:col>99</xdr:col>
      <xdr:colOff>38100</xdr:colOff>
      <xdr:row>260</xdr:row>
      <xdr:rowOff>0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0.23887</cdr:x>
      <cdr:y>0.00694</cdr:y>
    </cdr:from>
    <cdr:to>
      <cdr:x>0.77935</cdr:x>
      <cdr:y>0.09722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23950" y="19051"/>
          <a:ext cx="254317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mn-MN" sz="1100">
              <a:latin typeface="Arial" pitchFamily="34" charset="0"/>
              <a:cs typeface="Arial" pitchFamily="34" charset="0"/>
            </a:rPr>
            <a:t>хөдөлмөрийн</a:t>
          </a:r>
          <a:r>
            <a:rPr lang="mn-MN" sz="1100" baseline="0">
              <a:latin typeface="Arial" pitchFamily="34" charset="0"/>
              <a:cs typeface="Arial" pitchFamily="34" charset="0"/>
            </a:rPr>
            <a:t> бүтээмж /сая төг/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M64"/>
  <sheetViews>
    <sheetView topLeftCell="A13" zoomScale="115" zoomScaleNormal="115" workbookViewId="0">
      <selection activeCell="AD40" sqref="AD40"/>
    </sheetView>
  </sheetViews>
  <sheetFormatPr defaultRowHeight="12.75" x14ac:dyDescent="0.2"/>
  <cols>
    <col min="1" max="1" width="4" customWidth="1"/>
    <col min="2" max="2" width="12.42578125" customWidth="1"/>
    <col min="3" max="3" width="6.42578125" customWidth="1"/>
    <col min="4" max="4" width="4.5703125" customWidth="1"/>
    <col min="5" max="5" width="4" customWidth="1"/>
    <col min="6" max="9" width="5.7109375" customWidth="1"/>
    <col min="10" max="10" width="6.28515625" customWidth="1"/>
    <col min="11" max="11" width="5.140625" customWidth="1"/>
    <col min="12" max="12" width="5.5703125" customWidth="1"/>
    <col min="13" max="13" width="5.7109375" customWidth="1"/>
    <col min="14" max="16" width="5" customWidth="1"/>
    <col min="17" max="17" width="5.140625" customWidth="1"/>
    <col min="18" max="23" width="4.85546875" customWidth="1"/>
    <col min="24" max="43" width="5.7109375" customWidth="1"/>
    <col min="44" max="48" width="3.85546875" customWidth="1"/>
    <col min="49" max="73" width="6.7109375" customWidth="1"/>
  </cols>
  <sheetData>
    <row r="2" spans="1:65" x14ac:dyDescent="0.2">
      <c r="A2" s="146" t="s">
        <v>68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</row>
    <row r="5" spans="1:65" x14ac:dyDescent="0.2">
      <c r="A5" s="147" t="s">
        <v>56</v>
      </c>
      <c r="B5" s="147" t="s">
        <v>57</v>
      </c>
      <c r="C5" s="148" t="s">
        <v>58</v>
      </c>
      <c r="D5" s="143">
        <v>1940</v>
      </c>
      <c r="E5" s="143">
        <v>1950</v>
      </c>
      <c r="F5" s="143">
        <v>1960</v>
      </c>
      <c r="G5" s="143">
        <v>1970</v>
      </c>
      <c r="H5" s="143">
        <v>1980</v>
      </c>
      <c r="I5" s="143">
        <v>1990</v>
      </c>
      <c r="J5" s="143">
        <v>1991</v>
      </c>
      <c r="K5" s="143">
        <v>1992</v>
      </c>
      <c r="L5" s="143">
        <v>1993</v>
      </c>
      <c r="M5" s="143">
        <v>1994</v>
      </c>
      <c r="N5" s="143">
        <v>1995</v>
      </c>
      <c r="O5" s="143">
        <v>1996</v>
      </c>
      <c r="P5" s="143">
        <v>1997</v>
      </c>
      <c r="Q5" s="143">
        <v>1998</v>
      </c>
      <c r="R5" s="143">
        <v>1999</v>
      </c>
      <c r="S5" s="143">
        <v>2000</v>
      </c>
      <c r="T5" s="143">
        <v>2001</v>
      </c>
      <c r="U5" s="143">
        <v>2002</v>
      </c>
      <c r="V5" s="143">
        <v>2003</v>
      </c>
      <c r="W5" s="143">
        <v>2004</v>
      </c>
      <c r="X5" s="143">
        <v>2005</v>
      </c>
      <c r="Y5" s="151">
        <v>2006</v>
      </c>
      <c r="Z5" s="151">
        <v>2007</v>
      </c>
      <c r="AA5" s="151">
        <v>2008</v>
      </c>
      <c r="AB5" s="151">
        <v>2009</v>
      </c>
      <c r="AC5" s="151">
        <v>2010</v>
      </c>
      <c r="AD5" s="151">
        <v>2011</v>
      </c>
      <c r="AE5" s="151">
        <v>2012</v>
      </c>
      <c r="AF5" s="151">
        <v>2013</v>
      </c>
      <c r="AG5" s="151">
        <v>2014</v>
      </c>
      <c r="AH5" s="151">
        <v>2015</v>
      </c>
      <c r="AI5" s="143">
        <v>2016</v>
      </c>
      <c r="AJ5" s="144"/>
      <c r="AK5" s="144"/>
      <c r="AL5" s="144"/>
      <c r="AM5" s="144"/>
      <c r="AN5" s="144"/>
      <c r="AO5" s="144"/>
      <c r="AP5" s="144"/>
      <c r="AQ5" s="144"/>
      <c r="AR5" s="9"/>
      <c r="AS5" s="9"/>
      <c r="AT5" s="9"/>
    </row>
    <row r="6" spans="1:65" ht="20.25" customHeight="1" x14ac:dyDescent="0.2">
      <c r="A6" s="147"/>
      <c r="B6" s="147"/>
      <c r="C6" s="149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43"/>
      <c r="AJ6" s="145">
        <v>2017</v>
      </c>
      <c r="AK6" s="145"/>
      <c r="AL6" s="145"/>
      <c r="AM6" s="145"/>
      <c r="AN6" s="145"/>
      <c r="AO6" s="145"/>
      <c r="AP6" s="145"/>
      <c r="AQ6" s="145"/>
      <c r="AR6" s="9"/>
      <c r="AS6" s="9"/>
      <c r="AT6" s="9"/>
    </row>
    <row r="7" spans="1:65" ht="20.25" customHeight="1" x14ac:dyDescent="0.2">
      <c r="A7" s="147"/>
      <c r="B7" s="147"/>
      <c r="C7" s="150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43"/>
      <c r="AJ7" s="145"/>
      <c r="AK7" s="145"/>
      <c r="AL7" s="145"/>
      <c r="AM7" s="145"/>
      <c r="AN7" s="145"/>
      <c r="AO7" s="145"/>
      <c r="AP7" s="145"/>
      <c r="AQ7" s="145"/>
      <c r="AR7" s="9"/>
      <c r="AS7" s="9"/>
      <c r="AT7" s="9"/>
    </row>
    <row r="8" spans="1:65" x14ac:dyDescent="0.2">
      <c r="A8">
        <v>1</v>
      </c>
      <c r="B8" t="s">
        <v>59</v>
      </c>
      <c r="C8" t="s">
        <v>9</v>
      </c>
      <c r="D8" s="8"/>
      <c r="E8" s="8"/>
      <c r="F8" s="8">
        <v>2169</v>
      </c>
      <c r="G8" s="8">
        <v>2793</v>
      </c>
      <c r="H8" s="8">
        <v>6761.4</v>
      </c>
      <c r="I8" s="8">
        <v>26689.599999999999</v>
      </c>
      <c r="J8" s="8">
        <v>25363.4</v>
      </c>
      <c r="K8" s="8">
        <v>21425</v>
      </c>
      <c r="L8" s="8">
        <v>5984.8</v>
      </c>
      <c r="M8" s="8">
        <v>12434</v>
      </c>
      <c r="N8" s="8">
        <v>15248.7</v>
      </c>
      <c r="O8" s="8">
        <v>3360.9</v>
      </c>
      <c r="P8" s="8">
        <v>1856.1</v>
      </c>
      <c r="Q8" s="8">
        <v>2102.8000000000002</v>
      </c>
      <c r="R8" s="8">
        <v>357.4</v>
      </c>
      <c r="S8" s="8">
        <v>92.3</v>
      </c>
      <c r="T8" s="8">
        <v>100</v>
      </c>
      <c r="U8" s="8">
        <v>307.60000000000002</v>
      </c>
      <c r="V8" s="8">
        <v>14</v>
      </c>
      <c r="W8" s="8">
        <v>63</v>
      </c>
      <c r="X8" s="8">
        <v>32.9</v>
      </c>
      <c r="Y8" s="8">
        <v>100</v>
      </c>
      <c r="Z8" s="8">
        <v>150.6</v>
      </c>
      <c r="AA8" s="8">
        <v>400</v>
      </c>
      <c r="AB8" s="8">
        <v>1360</v>
      </c>
      <c r="AC8" s="8">
        <v>894.1</v>
      </c>
      <c r="AD8" s="8">
        <v>1329</v>
      </c>
      <c r="AE8" s="8">
        <v>1314.4</v>
      </c>
      <c r="AF8" s="8">
        <v>1366.9</v>
      </c>
      <c r="AG8" s="8">
        <v>800.8</v>
      </c>
      <c r="AH8" s="8">
        <v>315.2</v>
      </c>
      <c r="AI8" s="8">
        <v>3785.4</v>
      </c>
      <c r="AJ8" s="8">
        <v>1278.7</v>
      </c>
      <c r="BE8" s="8"/>
      <c r="BG8" s="7"/>
      <c r="BK8" s="1"/>
      <c r="BM8" s="1"/>
    </row>
    <row r="9" spans="1:65" x14ac:dyDescent="0.2">
      <c r="A9">
        <v>2</v>
      </c>
      <c r="B9" t="s">
        <v>11</v>
      </c>
      <c r="C9" t="s">
        <v>9</v>
      </c>
      <c r="D9" s="8"/>
      <c r="E9" s="8">
        <v>56.6</v>
      </c>
      <c r="F9" s="8">
        <v>190.5</v>
      </c>
      <c r="G9" s="8">
        <v>466.5</v>
      </c>
      <c r="H9" s="8">
        <v>630</v>
      </c>
      <c r="I9" s="8">
        <v>756.8</v>
      </c>
      <c r="J9" s="8">
        <v>634.4</v>
      </c>
      <c r="K9" s="8">
        <v>577.29999999999995</v>
      </c>
      <c r="L9" s="8">
        <v>215.7</v>
      </c>
      <c r="M9" s="8">
        <v>99.9</v>
      </c>
      <c r="N9" s="8">
        <v>2.4</v>
      </c>
      <c r="O9" s="8">
        <v>3.9</v>
      </c>
      <c r="P9" s="8">
        <v>1.7</v>
      </c>
      <c r="Q9" s="8">
        <v>0.1</v>
      </c>
      <c r="R9" s="8">
        <v>1.6</v>
      </c>
      <c r="S9" s="8">
        <v>9.9</v>
      </c>
      <c r="T9" s="8">
        <v>12.9</v>
      </c>
      <c r="U9" s="8">
        <v>16.2</v>
      </c>
      <c r="V9" s="8">
        <v>17.3</v>
      </c>
      <c r="W9" s="8">
        <v>9.9</v>
      </c>
      <c r="X9" s="8">
        <v>6.6</v>
      </c>
      <c r="Y9" s="8">
        <v>5.8</v>
      </c>
      <c r="Z9" s="8">
        <v>76</v>
      </c>
      <c r="AA9" s="8">
        <v>38</v>
      </c>
      <c r="AB9" s="8">
        <v>53.7</v>
      </c>
      <c r="AC9" s="8">
        <v>109</v>
      </c>
      <c r="AD9" s="8">
        <v>88.6</v>
      </c>
      <c r="AE9" s="8">
        <v>110.1</v>
      </c>
      <c r="AF9" s="8">
        <v>115.9</v>
      </c>
      <c r="AG9" s="8">
        <v>86.3</v>
      </c>
      <c r="AH9" s="8">
        <v>177.9</v>
      </c>
      <c r="AI9" s="8">
        <v>117.3</v>
      </c>
      <c r="AJ9" s="8">
        <v>109</v>
      </c>
    </row>
    <row r="10" spans="1:65" x14ac:dyDescent="0.2">
      <c r="A10">
        <v>3</v>
      </c>
      <c r="B10" t="s">
        <v>12</v>
      </c>
      <c r="C10" t="s">
        <v>9</v>
      </c>
      <c r="D10" s="8"/>
      <c r="E10" s="8">
        <v>22.1</v>
      </c>
      <c r="F10" s="8">
        <v>65.5</v>
      </c>
      <c r="G10" s="8">
        <v>95.1</v>
      </c>
      <c r="H10" s="8">
        <v>349</v>
      </c>
      <c r="I10" s="8">
        <v>596.29999999999995</v>
      </c>
      <c r="J10" s="8">
        <v>325.8</v>
      </c>
      <c r="K10" s="8">
        <v>334.1</v>
      </c>
      <c r="L10" s="8">
        <v>80.8</v>
      </c>
      <c r="M10" s="8">
        <v>76.099999999999994</v>
      </c>
      <c r="N10" s="8">
        <v>28.5</v>
      </c>
      <c r="O10" s="8">
        <v>22.7</v>
      </c>
      <c r="P10" s="8">
        <v>29.2</v>
      </c>
      <c r="Q10" s="8">
        <v>17.2</v>
      </c>
      <c r="R10" s="8">
        <v>24.7</v>
      </c>
      <c r="S10" s="8">
        <v>36.6</v>
      </c>
      <c r="T10" s="8">
        <v>46.5</v>
      </c>
      <c r="U10" s="8">
        <v>78.2</v>
      </c>
      <c r="V10" s="8">
        <v>82.1</v>
      </c>
      <c r="W10" s="8">
        <v>104.7</v>
      </c>
      <c r="X10" s="8">
        <v>80.900000000000006</v>
      </c>
      <c r="Y10" s="8">
        <v>95.4</v>
      </c>
      <c r="Z10" s="8">
        <v>149.6</v>
      </c>
      <c r="AA10" s="8">
        <v>197.4</v>
      </c>
      <c r="AB10" s="8">
        <v>147.30000000000001</v>
      </c>
      <c r="AC10" s="8">
        <v>182.6</v>
      </c>
      <c r="AD10" s="8">
        <v>216.6</v>
      </c>
      <c r="AE10" s="8">
        <v>199.8</v>
      </c>
      <c r="AF10" s="8">
        <v>211</v>
      </c>
      <c r="AG10" s="8">
        <v>274.8</v>
      </c>
      <c r="AH10" s="8">
        <v>260.60000000000002</v>
      </c>
      <c r="AI10" s="8">
        <v>239.7</v>
      </c>
      <c r="AJ10" s="8">
        <v>255.9</v>
      </c>
    </row>
    <row r="11" spans="1:65" x14ac:dyDescent="0.2">
      <c r="A11">
        <v>4</v>
      </c>
      <c r="B11" t="s">
        <v>13</v>
      </c>
      <c r="C11" t="s">
        <v>15</v>
      </c>
      <c r="D11" s="8"/>
      <c r="E11" s="8">
        <v>4.7</v>
      </c>
      <c r="F11" s="8">
        <v>8.8000000000000007</v>
      </c>
      <c r="G11" s="8">
        <v>55.9</v>
      </c>
      <c r="H11" s="8">
        <v>155.6</v>
      </c>
      <c r="I11" s="8">
        <v>142</v>
      </c>
      <c r="J11" s="8">
        <v>103.7</v>
      </c>
      <c r="K11" s="8">
        <v>116.1</v>
      </c>
      <c r="L11" s="8">
        <v>53</v>
      </c>
      <c r="M11" s="8">
        <v>24.8</v>
      </c>
      <c r="N11" s="8">
        <v>46.1</v>
      </c>
      <c r="O11" s="8">
        <v>37.700000000000003</v>
      </c>
      <c r="P11" s="8">
        <v>26</v>
      </c>
      <c r="Q11" s="8">
        <v>35.6</v>
      </c>
      <c r="R11" s="8">
        <v>62.7</v>
      </c>
      <c r="S11" s="8">
        <v>113.7</v>
      </c>
      <c r="T11" s="8">
        <v>216.6</v>
      </c>
      <c r="U11" s="8">
        <v>224.7</v>
      </c>
      <c r="V11" s="8">
        <v>192.9</v>
      </c>
      <c r="W11" s="8">
        <v>258.5</v>
      </c>
      <c r="X11" s="8">
        <v>200</v>
      </c>
      <c r="Y11" s="8">
        <v>468.1</v>
      </c>
      <c r="Z11" s="8">
        <v>591.70000000000005</v>
      </c>
      <c r="AA11" s="8">
        <v>428.8</v>
      </c>
      <c r="AB11" s="8">
        <v>555</v>
      </c>
      <c r="AC11" s="8">
        <v>613.9</v>
      </c>
      <c r="AD11" s="8">
        <v>583.20000000000005</v>
      </c>
      <c r="AE11" s="8">
        <v>296.8</v>
      </c>
      <c r="AF11" s="8">
        <v>25.1</v>
      </c>
      <c r="AG11" s="8">
        <v>17.100000000000001</v>
      </c>
      <c r="AH11" s="8">
        <v>41.2</v>
      </c>
      <c r="AI11" s="8">
        <v>5.5</v>
      </c>
      <c r="AJ11" s="8">
        <v>41.7</v>
      </c>
    </row>
    <row r="12" spans="1:65" x14ac:dyDescent="0.2">
      <c r="A12">
        <v>5</v>
      </c>
      <c r="B12" t="s">
        <v>47</v>
      </c>
      <c r="C12" t="s">
        <v>9</v>
      </c>
      <c r="D12" s="8"/>
      <c r="E12" s="8">
        <v>9.1999999999999993</v>
      </c>
      <c r="F12" s="8">
        <v>65.599999999999994</v>
      </c>
      <c r="G12" s="8">
        <v>88.2</v>
      </c>
      <c r="H12" s="8">
        <v>80.5</v>
      </c>
      <c r="I12" s="8">
        <v>57.6</v>
      </c>
      <c r="J12" s="8">
        <v>19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65" x14ac:dyDescent="0.2">
      <c r="A13">
        <v>6</v>
      </c>
      <c r="B13" t="s">
        <v>22</v>
      </c>
      <c r="C13" s="7" t="s">
        <v>61</v>
      </c>
      <c r="D13" s="8"/>
      <c r="E13" s="8"/>
      <c r="F13" s="8">
        <v>28.5</v>
      </c>
      <c r="G13" s="8">
        <v>3483</v>
      </c>
      <c r="H13" s="8">
        <v>8683.9</v>
      </c>
      <c r="I13" s="8">
        <v>26689.599999999999</v>
      </c>
      <c r="J13" s="8">
        <v>25363.4</v>
      </c>
      <c r="K13" s="8">
        <v>21425</v>
      </c>
      <c r="L13" s="8">
        <v>15248.7</v>
      </c>
      <c r="M13" s="8">
        <v>12434.6</v>
      </c>
      <c r="N13" s="8">
        <v>8145.2</v>
      </c>
      <c r="O13" s="8">
        <v>1500</v>
      </c>
      <c r="P13" s="8">
        <v>812</v>
      </c>
      <c r="Q13" s="8">
        <v>987.3</v>
      </c>
      <c r="R13" s="8">
        <v>513.79999999999995</v>
      </c>
      <c r="S13" s="8">
        <v>575.29999999999995</v>
      </c>
      <c r="T13" s="8">
        <v>616.79999999999995</v>
      </c>
      <c r="U13" s="8">
        <v>661.9</v>
      </c>
      <c r="V13" s="8">
        <v>584.79999999999995</v>
      </c>
      <c r="W13" s="8">
        <v>430.1</v>
      </c>
      <c r="X13" s="8">
        <v>169.7</v>
      </c>
      <c r="Y13" s="8">
        <v>196.9</v>
      </c>
      <c r="Z13" s="8">
        <v>157.19999999999999</v>
      </c>
      <c r="AA13" s="8">
        <v>63.6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/>
    </row>
    <row r="14" spans="1:65" x14ac:dyDescent="0.2">
      <c r="A14">
        <v>7</v>
      </c>
      <c r="B14" t="s">
        <v>60</v>
      </c>
      <c r="C14" s="31" t="s">
        <v>329</v>
      </c>
      <c r="D14" s="8"/>
      <c r="E14" s="8"/>
      <c r="F14" s="8"/>
      <c r="G14" s="8"/>
      <c r="H14" s="8"/>
      <c r="I14" s="8">
        <v>120.4</v>
      </c>
      <c r="J14" s="8">
        <v>203.3</v>
      </c>
      <c r="K14" s="8">
        <v>146.1</v>
      </c>
      <c r="L14" s="8">
        <v>100.6</v>
      </c>
      <c r="M14" s="8">
        <v>100.6</v>
      </c>
      <c r="N14" s="8">
        <v>34</v>
      </c>
      <c r="O14" s="8">
        <v>49.1</v>
      </c>
      <c r="P14" s="8">
        <v>36.6</v>
      </c>
      <c r="Q14" s="8">
        <v>33</v>
      </c>
      <c r="R14" s="8">
        <v>27.2</v>
      </c>
      <c r="S14" s="8">
        <v>40</v>
      </c>
      <c r="T14" s="8">
        <v>53.9</v>
      </c>
      <c r="U14" s="8">
        <v>51.2</v>
      </c>
      <c r="V14" s="8">
        <v>50.5</v>
      </c>
      <c r="W14" s="8">
        <v>53</v>
      </c>
      <c r="X14" s="8">
        <v>52.1</v>
      </c>
      <c r="Y14" s="8">
        <v>55.2</v>
      </c>
      <c r="Z14" s="8">
        <v>63.5</v>
      </c>
      <c r="AA14" s="8">
        <v>62.3</v>
      </c>
      <c r="AB14" s="8">
        <v>68.2</v>
      </c>
      <c r="AC14" s="8">
        <v>78</v>
      </c>
      <c r="AD14" s="8">
        <v>76.2</v>
      </c>
      <c r="AE14" s="8">
        <v>106.5</v>
      </c>
      <c r="AF14" s="8">
        <v>117.1</v>
      </c>
      <c r="AG14" s="8">
        <v>129</v>
      </c>
      <c r="AH14" s="8">
        <v>145.5</v>
      </c>
      <c r="AI14" s="8">
        <v>165</v>
      </c>
      <c r="AJ14" s="8">
        <v>176.9</v>
      </c>
      <c r="BE14" s="8"/>
      <c r="BG14" s="8"/>
      <c r="BI14" s="8"/>
      <c r="BK14" s="8"/>
      <c r="BM14" s="8"/>
    </row>
    <row r="15" spans="1:65" x14ac:dyDescent="0.2">
      <c r="A15">
        <v>8</v>
      </c>
      <c r="B15" t="s">
        <v>38</v>
      </c>
      <c r="C15" t="s">
        <v>36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>
        <v>1.4</v>
      </c>
      <c r="O15" s="8">
        <v>3.1</v>
      </c>
      <c r="P15" s="8">
        <v>4.5</v>
      </c>
      <c r="Q15" s="8">
        <v>33</v>
      </c>
      <c r="R15" s="8">
        <v>315.8</v>
      </c>
      <c r="S15" s="8">
        <v>319.7</v>
      </c>
      <c r="T15" s="8">
        <v>256.89999999999998</v>
      </c>
      <c r="U15" s="8">
        <v>71.5</v>
      </c>
      <c r="V15" s="8">
        <v>104.6</v>
      </c>
      <c r="W15" s="8">
        <v>90.9</v>
      </c>
      <c r="X15" s="8">
        <v>59</v>
      </c>
      <c r="Y15" s="8">
        <v>53.7</v>
      </c>
      <c r="Z15" s="8">
        <v>52.2</v>
      </c>
      <c r="AA15" s="8">
        <v>30</v>
      </c>
      <c r="AB15" s="8">
        <v>33</v>
      </c>
      <c r="AC15" s="8">
        <v>33.700000000000003</v>
      </c>
      <c r="AD15" s="8">
        <v>2.8</v>
      </c>
      <c r="AE15" s="8">
        <v>0</v>
      </c>
      <c r="AJ15" s="8">
        <v>13</v>
      </c>
    </row>
    <row r="16" spans="1:65" x14ac:dyDescent="0.2">
      <c r="A16">
        <v>9</v>
      </c>
      <c r="B16" t="s">
        <v>21</v>
      </c>
      <c r="C16" t="s">
        <v>20</v>
      </c>
      <c r="D16" s="8"/>
      <c r="E16" s="8"/>
      <c r="F16" s="8">
        <v>10</v>
      </c>
      <c r="G16" s="8">
        <v>23.6</v>
      </c>
      <c r="H16" s="8">
        <v>76.3</v>
      </c>
      <c r="I16" s="8">
        <v>213</v>
      </c>
      <c r="J16" s="8">
        <v>157.4</v>
      </c>
      <c r="K16" s="8">
        <v>110</v>
      </c>
      <c r="L16" s="8">
        <v>60.5</v>
      </c>
      <c r="M16" s="8">
        <v>53.8</v>
      </c>
      <c r="N16" s="8">
        <v>53</v>
      </c>
      <c r="O16" s="8">
        <v>41.8</v>
      </c>
      <c r="P16" s="8">
        <v>37</v>
      </c>
      <c r="Q16" s="8">
        <v>38.4</v>
      </c>
      <c r="R16" s="8">
        <v>33.200000000000003</v>
      </c>
      <c r="S16" s="8">
        <v>41.8</v>
      </c>
      <c r="T16" s="8">
        <v>52.9</v>
      </c>
      <c r="U16" s="8">
        <v>58.2</v>
      </c>
      <c r="V16" s="8">
        <v>48.8</v>
      </c>
      <c r="W16" s="8">
        <v>40</v>
      </c>
      <c r="X16" s="8">
        <v>40.299999999999997</v>
      </c>
      <c r="Y16" s="8">
        <v>40.200000000000003</v>
      </c>
      <c r="Z16" s="8">
        <v>40.9</v>
      </c>
      <c r="AA16" s="8">
        <v>51.3</v>
      </c>
      <c r="AB16" s="8">
        <v>54</v>
      </c>
      <c r="AC16" s="8">
        <v>55.4</v>
      </c>
      <c r="AD16" s="8">
        <v>86.8</v>
      </c>
      <c r="AE16" s="8">
        <v>50.2</v>
      </c>
      <c r="AF16" s="8">
        <v>69.900000000000006</v>
      </c>
      <c r="AG16" s="8">
        <v>72.099999999999994</v>
      </c>
      <c r="AH16" s="8">
        <v>90.6</v>
      </c>
      <c r="AI16" s="8">
        <v>88.6</v>
      </c>
      <c r="AJ16" s="8">
        <v>72.599999999999994</v>
      </c>
    </row>
    <row r="17" spans="1:65" x14ac:dyDescent="0.2">
      <c r="A17">
        <v>10</v>
      </c>
      <c r="B17" t="s">
        <v>16</v>
      </c>
      <c r="C17" t="s">
        <v>8</v>
      </c>
      <c r="D17" s="8"/>
      <c r="E17" s="8"/>
      <c r="F17" s="8">
        <v>541.4</v>
      </c>
      <c r="G17" s="8">
        <v>779.1</v>
      </c>
      <c r="H17" s="8">
        <v>940.8</v>
      </c>
      <c r="I17" s="8">
        <v>885.1</v>
      </c>
      <c r="J17" s="8">
        <v>378</v>
      </c>
      <c r="K17" s="8">
        <v>165.5</v>
      </c>
      <c r="L17" s="8">
        <v>167.7</v>
      </c>
      <c r="M17" s="8">
        <v>98</v>
      </c>
      <c r="N17" s="8">
        <v>62.5</v>
      </c>
      <c r="O17" s="8">
        <v>8.5</v>
      </c>
      <c r="P17" s="8"/>
      <c r="Q17" s="8"/>
      <c r="R17" s="8"/>
      <c r="S17" s="8"/>
      <c r="T17" s="8"/>
      <c r="U17" s="8"/>
      <c r="V17" s="8"/>
      <c r="W17" s="8"/>
      <c r="AI17">
        <v>0</v>
      </c>
    </row>
    <row r="18" spans="1:65" x14ac:dyDescent="0.2">
      <c r="A18">
        <v>11</v>
      </c>
      <c r="B18" t="s">
        <v>23</v>
      </c>
      <c r="C18" s="7" t="s">
        <v>76</v>
      </c>
      <c r="D18" s="8"/>
      <c r="E18" s="8"/>
      <c r="F18" s="8"/>
      <c r="G18" s="8">
        <v>8454</v>
      </c>
      <c r="H18" s="8">
        <v>17156</v>
      </c>
      <c r="I18" s="8">
        <v>7722</v>
      </c>
      <c r="J18" s="8">
        <v>4912</v>
      </c>
      <c r="K18" s="8">
        <v>2238</v>
      </c>
      <c r="L18" s="8">
        <v>514</v>
      </c>
      <c r="M18" s="8">
        <v>60</v>
      </c>
      <c r="N18" s="8"/>
      <c r="O18" s="8"/>
      <c r="P18" s="8">
        <v>40</v>
      </c>
      <c r="Q18" s="8">
        <v>35</v>
      </c>
      <c r="R18" s="8">
        <v>80</v>
      </c>
      <c r="S18" s="8">
        <v>286</v>
      </c>
      <c r="T18" s="8">
        <v>1474</v>
      </c>
      <c r="U18" s="8">
        <v>1100</v>
      </c>
      <c r="V18" s="8">
        <v>400</v>
      </c>
      <c r="W18" s="8">
        <v>500</v>
      </c>
      <c r="X18" s="8">
        <v>300</v>
      </c>
      <c r="Y18" s="8">
        <v>200</v>
      </c>
      <c r="Z18" s="8">
        <v>500</v>
      </c>
      <c r="AA18" s="8">
        <v>1227.4000000000001</v>
      </c>
      <c r="AB18" s="8">
        <v>313.60000000000002</v>
      </c>
      <c r="AC18" s="8">
        <v>200.7</v>
      </c>
      <c r="AD18" s="8">
        <v>35</v>
      </c>
      <c r="AE18" s="8">
        <v>95</v>
      </c>
      <c r="AF18" s="8">
        <v>371.8</v>
      </c>
      <c r="AG18" s="8">
        <v>277.60000000000002</v>
      </c>
      <c r="AH18" s="8">
        <v>57</v>
      </c>
      <c r="AI18" s="8">
        <v>300</v>
      </c>
    </row>
    <row r="19" spans="1:65" x14ac:dyDescent="0.2">
      <c r="A19">
        <v>12</v>
      </c>
      <c r="B19" t="s">
        <v>62</v>
      </c>
      <c r="C19" s="7" t="s">
        <v>3</v>
      </c>
      <c r="D19" s="8">
        <v>198.3</v>
      </c>
      <c r="E19" s="8">
        <v>503</v>
      </c>
      <c r="F19" s="8">
        <v>14772.5</v>
      </c>
      <c r="G19" s="8">
        <v>2697.4</v>
      </c>
      <c r="H19" s="8">
        <v>1512.5</v>
      </c>
      <c r="I19" s="8">
        <v>2155.1</v>
      </c>
      <c r="J19" s="8"/>
      <c r="K19" s="8">
        <v>129.80000000000001</v>
      </c>
      <c r="L19" s="8">
        <v>1119.8</v>
      </c>
      <c r="M19" s="8">
        <v>1600</v>
      </c>
      <c r="N19" s="8">
        <v>4575</v>
      </c>
      <c r="O19" s="8">
        <v>4033</v>
      </c>
      <c r="P19" s="8">
        <v>3446</v>
      </c>
      <c r="Q19" s="8">
        <v>5000</v>
      </c>
      <c r="R19" s="8">
        <v>6246</v>
      </c>
      <c r="S19" s="8">
        <v>11987.5</v>
      </c>
      <c r="T19" s="8">
        <v>12134.2</v>
      </c>
      <c r="U19" s="8">
        <v>10305.5</v>
      </c>
      <c r="V19" s="8">
        <v>2980</v>
      </c>
      <c r="W19" s="8">
        <v>2400</v>
      </c>
      <c r="X19" s="8">
        <v>2000</v>
      </c>
      <c r="Y19" s="8">
        <v>0</v>
      </c>
      <c r="Z19" s="8">
        <v>3964</v>
      </c>
      <c r="AA19" s="8">
        <v>480</v>
      </c>
      <c r="AB19" s="8">
        <v>4264</v>
      </c>
      <c r="AC19" s="8">
        <v>4466</v>
      </c>
      <c r="AD19" s="8">
        <v>2682</v>
      </c>
      <c r="AE19" s="8"/>
    </row>
    <row r="20" spans="1:65" x14ac:dyDescent="0.2">
      <c r="A20">
        <v>13</v>
      </c>
      <c r="B20" t="s">
        <v>63</v>
      </c>
      <c r="C20" s="1" t="s">
        <v>328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>
        <v>2</v>
      </c>
      <c r="R20" s="8">
        <v>2</v>
      </c>
      <c r="S20" s="8">
        <v>67.7</v>
      </c>
      <c r="T20" s="8">
        <v>94.7</v>
      </c>
      <c r="U20" s="8">
        <v>129</v>
      </c>
      <c r="V20" s="8">
        <v>90.1</v>
      </c>
      <c r="W20" s="8">
        <v>27.1</v>
      </c>
      <c r="X20" s="8">
        <v>104.5</v>
      </c>
      <c r="Y20" s="8">
        <v>172.8</v>
      </c>
      <c r="Z20" s="8">
        <v>111.1</v>
      </c>
      <c r="AA20" s="8">
        <v>120.6</v>
      </c>
      <c r="AB20" s="8">
        <v>132.5</v>
      </c>
      <c r="AC20" s="8">
        <v>143.6</v>
      </c>
      <c r="AD20" s="8">
        <v>133.4</v>
      </c>
      <c r="AE20" s="8">
        <v>133.4</v>
      </c>
      <c r="AF20" s="8">
        <v>98.5</v>
      </c>
      <c r="AG20" s="8">
        <v>86.3</v>
      </c>
      <c r="AH20" s="8">
        <v>46.9</v>
      </c>
      <c r="AI20" s="8">
        <v>130</v>
      </c>
      <c r="AJ20" s="8">
        <v>117.5</v>
      </c>
    </row>
    <row r="21" spans="1:65" x14ac:dyDescent="0.2"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65" ht="35.25" customHeight="1" x14ac:dyDescent="0.2">
      <c r="A22" s="6" t="s">
        <v>56</v>
      </c>
      <c r="B22" s="6"/>
      <c r="C22" s="104">
        <v>1940</v>
      </c>
      <c r="D22" s="85">
        <v>1950</v>
      </c>
      <c r="E22" s="85">
        <v>1960</v>
      </c>
      <c r="F22" s="85">
        <v>1970</v>
      </c>
      <c r="G22" s="85">
        <v>1980</v>
      </c>
      <c r="H22" s="85">
        <v>1990</v>
      </c>
      <c r="I22" s="85">
        <v>1991</v>
      </c>
      <c r="J22" s="85">
        <v>1992</v>
      </c>
      <c r="K22" s="85">
        <v>1993</v>
      </c>
      <c r="L22" s="85">
        <v>1994</v>
      </c>
      <c r="M22" s="85">
        <v>1995</v>
      </c>
      <c r="N22" s="85">
        <v>1996</v>
      </c>
      <c r="O22" s="85">
        <v>1997</v>
      </c>
      <c r="P22" s="85">
        <v>1998</v>
      </c>
      <c r="Q22" s="85">
        <v>1999</v>
      </c>
      <c r="R22" s="85">
        <v>2000</v>
      </c>
      <c r="S22" s="85">
        <v>2001</v>
      </c>
      <c r="T22" s="85">
        <v>2002</v>
      </c>
      <c r="U22" s="85">
        <v>2003</v>
      </c>
      <c r="V22" s="85">
        <v>2004</v>
      </c>
      <c r="W22" s="85">
        <v>2005</v>
      </c>
      <c r="X22" s="87">
        <v>2006</v>
      </c>
      <c r="Y22" s="87">
        <v>2007</v>
      </c>
      <c r="Z22" s="87">
        <v>2008</v>
      </c>
      <c r="AA22" s="87">
        <v>2009</v>
      </c>
      <c r="AB22" s="93">
        <v>2010</v>
      </c>
      <c r="AC22" s="93">
        <v>2011</v>
      </c>
      <c r="AD22" s="93">
        <v>2012</v>
      </c>
      <c r="AE22" s="94">
        <v>2013</v>
      </c>
      <c r="AF22" s="94">
        <v>2014</v>
      </c>
      <c r="AG22" s="94">
        <v>2015</v>
      </c>
      <c r="AH22" s="107">
        <v>2016</v>
      </c>
      <c r="AI22" s="120">
        <v>2017</v>
      </c>
      <c r="AJ22" s="144"/>
      <c r="AK22" s="144"/>
      <c r="AL22" s="144"/>
      <c r="AM22" s="144"/>
      <c r="AN22" s="144"/>
      <c r="AO22" s="144"/>
      <c r="AP22" s="144"/>
      <c r="AQ22" s="144"/>
      <c r="AR22" s="9"/>
      <c r="AS22" s="9"/>
      <c r="AT22" s="9"/>
    </row>
    <row r="23" spans="1:65" x14ac:dyDescent="0.2">
      <c r="A23">
        <v>1</v>
      </c>
      <c r="B23" t="s">
        <v>59</v>
      </c>
      <c r="C23" s="8">
        <v>0</v>
      </c>
      <c r="D23" s="8">
        <v>0</v>
      </c>
      <c r="E23" s="8">
        <v>2169</v>
      </c>
      <c r="F23" s="8">
        <v>2793</v>
      </c>
      <c r="G23" s="8">
        <v>6761.4</v>
      </c>
      <c r="H23" s="8">
        <v>26689.599999999999</v>
      </c>
      <c r="I23" s="8">
        <v>25363.4</v>
      </c>
      <c r="J23" s="8">
        <v>21425</v>
      </c>
      <c r="K23" s="8">
        <v>5984.8</v>
      </c>
      <c r="L23" s="8">
        <v>12434</v>
      </c>
      <c r="M23" s="8">
        <v>15248.7</v>
      </c>
      <c r="N23" s="8">
        <v>3360.9</v>
      </c>
      <c r="O23" s="8">
        <v>1856.1</v>
      </c>
      <c r="P23" s="8">
        <v>2102.8000000000002</v>
      </c>
      <c r="Q23" s="8">
        <v>357.4</v>
      </c>
      <c r="R23" s="8">
        <v>92.3</v>
      </c>
      <c r="S23" s="8">
        <v>100</v>
      </c>
      <c r="T23" s="8">
        <v>307.60000000000002</v>
      </c>
      <c r="U23" s="8">
        <v>14</v>
      </c>
      <c r="V23" s="8">
        <v>63</v>
      </c>
      <c r="W23" s="12">
        <v>32.9</v>
      </c>
      <c r="X23" s="8">
        <v>100</v>
      </c>
      <c r="Y23" s="8">
        <v>150.6</v>
      </c>
      <c r="Z23" s="8">
        <v>400</v>
      </c>
      <c r="AA23" s="8">
        <v>1360</v>
      </c>
      <c r="AB23" s="8">
        <v>894.1</v>
      </c>
      <c r="AC23" s="8">
        <v>1329</v>
      </c>
      <c r="AD23" s="8">
        <v>1314.4</v>
      </c>
      <c r="AE23" s="8">
        <v>1366.9</v>
      </c>
      <c r="AF23" s="8">
        <v>800.8</v>
      </c>
      <c r="AG23" s="8">
        <v>315.2</v>
      </c>
      <c r="AH23" s="8">
        <v>3785.4</v>
      </c>
      <c r="AI23" s="8">
        <v>1278.7</v>
      </c>
      <c r="BE23" s="8"/>
      <c r="BG23" s="7"/>
      <c r="BK23" s="1"/>
      <c r="BM23" s="1"/>
    </row>
    <row r="25" spans="1:65" ht="26.25" x14ac:dyDescent="0.2">
      <c r="A25" s="51"/>
      <c r="B25" s="51"/>
      <c r="C25" s="104">
        <v>1940</v>
      </c>
      <c r="D25" s="85">
        <v>1950</v>
      </c>
      <c r="E25" s="85">
        <v>1960</v>
      </c>
      <c r="F25" s="85">
        <v>1970</v>
      </c>
      <c r="G25" s="85">
        <v>1980</v>
      </c>
      <c r="H25" s="85">
        <v>1990</v>
      </c>
      <c r="I25" s="85">
        <v>1991</v>
      </c>
      <c r="J25" s="85">
        <v>1992</v>
      </c>
      <c r="K25" s="85">
        <v>1993</v>
      </c>
      <c r="L25" s="85">
        <v>1994</v>
      </c>
      <c r="M25" s="85">
        <v>1995</v>
      </c>
      <c r="N25" s="85">
        <v>1996</v>
      </c>
      <c r="O25" s="85">
        <v>1997</v>
      </c>
      <c r="P25" s="85">
        <v>1998</v>
      </c>
      <c r="Q25" s="85">
        <v>1999</v>
      </c>
      <c r="R25" s="85">
        <v>2000</v>
      </c>
      <c r="S25" s="85">
        <v>2001</v>
      </c>
      <c r="T25" s="85">
        <v>2002</v>
      </c>
      <c r="U25" s="85">
        <v>2003</v>
      </c>
      <c r="V25" s="85">
        <v>2004</v>
      </c>
      <c r="W25" s="91">
        <v>2005</v>
      </c>
      <c r="X25" s="87">
        <v>2006</v>
      </c>
      <c r="Y25" s="87">
        <v>2007</v>
      </c>
      <c r="Z25" s="87">
        <v>2008</v>
      </c>
      <c r="AA25" s="87">
        <v>2009</v>
      </c>
      <c r="AB25" s="93">
        <v>2010</v>
      </c>
      <c r="AC25" s="93">
        <v>2011</v>
      </c>
      <c r="AD25" s="93">
        <v>2012</v>
      </c>
      <c r="AE25" s="94">
        <v>2013</v>
      </c>
      <c r="AF25" s="94">
        <v>2014</v>
      </c>
      <c r="AG25" s="94">
        <v>2015</v>
      </c>
      <c r="AH25" s="94">
        <v>2016</v>
      </c>
      <c r="AI25" s="118">
        <v>2017</v>
      </c>
    </row>
    <row r="26" spans="1:65" x14ac:dyDescent="0.2">
      <c r="A26">
        <v>2</v>
      </c>
      <c r="B26" t="s">
        <v>11</v>
      </c>
      <c r="C26" s="84">
        <v>0</v>
      </c>
      <c r="D26" s="95">
        <v>56.6</v>
      </c>
      <c r="E26" s="95">
        <v>190.5</v>
      </c>
      <c r="F26" s="95">
        <v>466.5</v>
      </c>
      <c r="G26" s="95">
        <v>630</v>
      </c>
      <c r="H26" s="95">
        <v>756.8</v>
      </c>
      <c r="I26" s="95">
        <v>634.4</v>
      </c>
      <c r="J26" s="95">
        <v>577.29999999999995</v>
      </c>
      <c r="K26" s="95">
        <v>215.7</v>
      </c>
      <c r="L26" s="95">
        <v>99.9</v>
      </c>
      <c r="M26" s="95">
        <v>2.4</v>
      </c>
      <c r="N26" s="95">
        <v>3.9</v>
      </c>
      <c r="O26" s="95">
        <v>1.7</v>
      </c>
      <c r="P26" s="95">
        <v>0.1</v>
      </c>
      <c r="Q26" s="95">
        <v>1.6</v>
      </c>
      <c r="R26" s="95">
        <v>9.9</v>
      </c>
      <c r="S26" s="95">
        <v>12.9</v>
      </c>
      <c r="T26" s="95">
        <v>16.2</v>
      </c>
      <c r="U26" s="95">
        <v>17.3</v>
      </c>
      <c r="V26" s="95">
        <v>9.9</v>
      </c>
      <c r="W26" s="95">
        <v>6.6</v>
      </c>
      <c r="X26" s="95">
        <v>5.8</v>
      </c>
      <c r="Y26" s="95">
        <v>76</v>
      </c>
      <c r="Z26" s="95">
        <v>38</v>
      </c>
      <c r="AA26" s="95">
        <v>53.7</v>
      </c>
      <c r="AB26" s="95">
        <v>109</v>
      </c>
      <c r="AC26" s="95">
        <v>88.6</v>
      </c>
      <c r="AD26" s="95">
        <v>110.1</v>
      </c>
      <c r="AE26" s="95">
        <v>115.9</v>
      </c>
      <c r="AF26" s="95">
        <v>86.3</v>
      </c>
      <c r="AG26" s="8">
        <v>177.9</v>
      </c>
      <c r="AH26" s="8">
        <v>117.3</v>
      </c>
      <c r="AI26" s="95">
        <v>109</v>
      </c>
    </row>
    <row r="27" spans="1:65" ht="26.25" x14ac:dyDescent="0.2">
      <c r="A27" s="51"/>
      <c r="B27" s="51"/>
      <c r="C27" s="92">
        <v>1940</v>
      </c>
      <c r="D27" s="85">
        <v>1950</v>
      </c>
      <c r="E27" s="85">
        <v>1960</v>
      </c>
      <c r="F27" s="85">
        <v>1970</v>
      </c>
      <c r="G27" s="85">
        <v>1980</v>
      </c>
      <c r="H27" s="85">
        <v>1990</v>
      </c>
      <c r="I27" s="85">
        <v>1991</v>
      </c>
      <c r="J27" s="85">
        <v>1992</v>
      </c>
      <c r="K27" s="85">
        <v>1993</v>
      </c>
      <c r="L27" s="85">
        <v>1994</v>
      </c>
      <c r="M27" s="85">
        <v>1995</v>
      </c>
      <c r="N27" s="85">
        <v>1996</v>
      </c>
      <c r="O27" s="85">
        <v>1997</v>
      </c>
      <c r="P27" s="85">
        <v>1998</v>
      </c>
      <c r="Q27" s="85">
        <v>1999</v>
      </c>
      <c r="R27" s="85">
        <v>2000</v>
      </c>
      <c r="S27" s="85">
        <v>2001</v>
      </c>
      <c r="T27" s="85">
        <v>2002</v>
      </c>
      <c r="U27" s="85">
        <v>2003</v>
      </c>
      <c r="V27" s="85">
        <v>2004</v>
      </c>
      <c r="W27" s="91">
        <v>2005</v>
      </c>
      <c r="X27" s="87">
        <v>2006</v>
      </c>
      <c r="Y27" s="87">
        <v>2007</v>
      </c>
      <c r="Z27" s="87">
        <v>2008</v>
      </c>
      <c r="AA27" s="87">
        <v>2009</v>
      </c>
      <c r="AB27" s="93">
        <v>2010</v>
      </c>
      <c r="AC27" s="93">
        <v>2011</v>
      </c>
      <c r="AD27" s="93">
        <v>2012</v>
      </c>
      <c r="AE27" s="94">
        <v>2013</v>
      </c>
      <c r="AF27" s="94">
        <v>2014</v>
      </c>
      <c r="AG27" s="94">
        <v>2015</v>
      </c>
      <c r="AH27" s="94">
        <v>2016</v>
      </c>
      <c r="AI27" s="118">
        <v>2017</v>
      </c>
    </row>
    <row r="28" spans="1:65" x14ac:dyDescent="0.2">
      <c r="A28">
        <v>3</v>
      </c>
      <c r="B28" t="s">
        <v>70</v>
      </c>
      <c r="C28" s="84" t="s">
        <v>69</v>
      </c>
      <c r="D28" s="95">
        <v>22.1</v>
      </c>
      <c r="E28" s="95">
        <v>65.5</v>
      </c>
      <c r="F28" s="95">
        <v>95.1</v>
      </c>
      <c r="G28" s="95">
        <v>349</v>
      </c>
      <c r="H28" s="95">
        <v>596.29999999999995</v>
      </c>
      <c r="I28" s="95">
        <v>325.8</v>
      </c>
      <c r="J28" s="95">
        <v>334.1</v>
      </c>
      <c r="K28" s="95">
        <v>80.8</v>
      </c>
      <c r="L28" s="95">
        <v>76.099999999999994</v>
      </c>
      <c r="M28" s="95">
        <v>28.5</v>
      </c>
      <c r="N28" s="95">
        <v>22.7</v>
      </c>
      <c r="O28" s="95">
        <v>29.2</v>
      </c>
      <c r="P28" s="95">
        <v>17.2</v>
      </c>
      <c r="Q28" s="95">
        <v>24.7</v>
      </c>
      <c r="R28" s="95">
        <v>36.6</v>
      </c>
      <c r="S28" s="95">
        <v>46.5</v>
      </c>
      <c r="T28" s="95">
        <v>78.2</v>
      </c>
      <c r="U28" s="95">
        <v>82.1</v>
      </c>
      <c r="V28" s="95">
        <v>104.7</v>
      </c>
      <c r="W28" s="95">
        <v>80.900000000000006</v>
      </c>
      <c r="X28" s="95">
        <v>95.4</v>
      </c>
      <c r="Y28" s="95">
        <v>149.6</v>
      </c>
      <c r="Z28" s="95">
        <v>197.4</v>
      </c>
      <c r="AA28" s="95">
        <v>147.30000000000001</v>
      </c>
      <c r="AB28" s="95">
        <v>182.6</v>
      </c>
      <c r="AC28" s="95">
        <v>216.6</v>
      </c>
      <c r="AD28" s="95">
        <v>199.8</v>
      </c>
      <c r="AE28" s="95">
        <v>211</v>
      </c>
      <c r="AF28" s="95">
        <v>274.8</v>
      </c>
      <c r="AG28" s="8">
        <v>260.60000000000002</v>
      </c>
      <c r="AH28" s="8">
        <v>239.7</v>
      </c>
      <c r="AI28" s="95">
        <v>255.9</v>
      </c>
    </row>
    <row r="29" spans="1:65" ht="26.25" x14ac:dyDescent="0.2">
      <c r="A29" s="51"/>
      <c r="B29" s="51"/>
      <c r="C29" s="92">
        <v>1940</v>
      </c>
      <c r="D29" s="85">
        <v>1950</v>
      </c>
      <c r="E29" s="85">
        <v>1960</v>
      </c>
      <c r="F29" s="85">
        <v>1970</v>
      </c>
      <c r="G29" s="85">
        <v>1980</v>
      </c>
      <c r="H29" s="85">
        <v>1990</v>
      </c>
      <c r="I29" s="85">
        <v>1991</v>
      </c>
      <c r="J29" s="85">
        <v>1992</v>
      </c>
      <c r="K29" s="85">
        <v>1993</v>
      </c>
      <c r="L29" s="85">
        <v>1994</v>
      </c>
      <c r="M29" s="85">
        <v>1995</v>
      </c>
      <c r="N29" s="85">
        <v>1996</v>
      </c>
      <c r="O29" s="85">
        <v>1997</v>
      </c>
      <c r="P29" s="85">
        <v>1998</v>
      </c>
      <c r="Q29" s="85">
        <v>1999</v>
      </c>
      <c r="R29" s="85">
        <v>2000</v>
      </c>
      <c r="S29" s="85">
        <v>2001</v>
      </c>
      <c r="T29" s="85">
        <v>2002</v>
      </c>
      <c r="U29" s="85">
        <v>2003</v>
      </c>
      <c r="V29" s="85">
        <v>2004</v>
      </c>
      <c r="W29" s="91">
        <v>2005</v>
      </c>
      <c r="X29" s="87">
        <v>2006</v>
      </c>
      <c r="Y29" s="87">
        <v>2007</v>
      </c>
      <c r="Z29" s="87">
        <v>2008</v>
      </c>
      <c r="AA29" s="87">
        <v>2009</v>
      </c>
      <c r="AB29" s="96">
        <v>2010</v>
      </c>
      <c r="AC29" s="96">
        <v>2011</v>
      </c>
      <c r="AD29" s="96">
        <v>2012</v>
      </c>
      <c r="AE29" s="97">
        <v>2013</v>
      </c>
      <c r="AF29" s="97">
        <v>2014</v>
      </c>
      <c r="AG29" s="94">
        <v>2015</v>
      </c>
      <c r="AH29" s="94">
        <v>2016</v>
      </c>
      <c r="AI29" s="119">
        <v>2017</v>
      </c>
    </row>
    <row r="30" spans="1:65" x14ac:dyDescent="0.2">
      <c r="A30" t="s">
        <v>69</v>
      </c>
      <c r="B30" t="s">
        <v>71</v>
      </c>
      <c r="C30" s="95"/>
      <c r="D30" s="95">
        <v>4.7</v>
      </c>
      <c r="E30" s="95">
        <v>8.8000000000000007</v>
      </c>
      <c r="F30" s="95">
        <v>55.9</v>
      </c>
      <c r="G30" s="95">
        <v>155.6</v>
      </c>
      <c r="H30" s="95">
        <v>142</v>
      </c>
      <c r="I30" s="95">
        <v>103.7</v>
      </c>
      <c r="J30" s="95">
        <v>116.1</v>
      </c>
      <c r="K30" s="95">
        <v>53</v>
      </c>
      <c r="L30" s="95">
        <v>24.8</v>
      </c>
      <c r="M30" s="95">
        <v>46.1</v>
      </c>
      <c r="N30" s="95">
        <v>37.700000000000003</v>
      </c>
      <c r="O30" s="95">
        <v>26</v>
      </c>
      <c r="P30" s="95">
        <v>35.6</v>
      </c>
      <c r="Q30" s="95">
        <v>62.7</v>
      </c>
      <c r="R30" s="95">
        <v>113.7</v>
      </c>
      <c r="S30" s="95">
        <v>216.6</v>
      </c>
      <c r="T30" s="95">
        <v>224.7</v>
      </c>
      <c r="U30" s="95">
        <v>192.9</v>
      </c>
      <c r="V30" s="95">
        <v>258.5</v>
      </c>
      <c r="W30" s="98">
        <v>200</v>
      </c>
      <c r="X30" s="95">
        <v>468.1</v>
      </c>
      <c r="Y30" s="95">
        <v>591.70000000000005</v>
      </c>
      <c r="Z30" s="95">
        <v>428.8</v>
      </c>
      <c r="AA30" s="95">
        <v>555</v>
      </c>
      <c r="AB30" s="95">
        <v>613.9</v>
      </c>
      <c r="AC30" s="95">
        <v>583.20000000000005</v>
      </c>
      <c r="AD30" s="95">
        <v>296.8</v>
      </c>
      <c r="AE30" s="95">
        <v>25.1</v>
      </c>
      <c r="AF30" s="95">
        <v>17.100000000000001</v>
      </c>
      <c r="AG30" s="8">
        <v>41.2</v>
      </c>
      <c r="AH30" s="8">
        <v>5.5</v>
      </c>
      <c r="AI30" s="95">
        <v>41.7</v>
      </c>
    </row>
    <row r="31" spans="1:65" ht="26.25" x14ac:dyDescent="0.2">
      <c r="A31" s="51"/>
      <c r="B31" s="51"/>
      <c r="C31" s="85">
        <v>1995</v>
      </c>
      <c r="D31" s="85">
        <v>1996</v>
      </c>
      <c r="E31" s="85">
        <v>1997</v>
      </c>
      <c r="F31" s="85">
        <v>1998</v>
      </c>
      <c r="G31" s="85">
        <v>1999</v>
      </c>
      <c r="H31" s="85">
        <v>2000</v>
      </c>
      <c r="I31" s="85">
        <v>2001</v>
      </c>
      <c r="J31" s="85">
        <v>2002</v>
      </c>
      <c r="K31" s="85">
        <v>2003</v>
      </c>
      <c r="L31" s="85">
        <v>2004</v>
      </c>
      <c r="M31" s="99">
        <v>2005</v>
      </c>
      <c r="N31" s="87">
        <v>2006</v>
      </c>
      <c r="O31" s="87">
        <v>2007</v>
      </c>
      <c r="P31" s="87">
        <v>2008</v>
      </c>
      <c r="Q31" s="87">
        <v>2009</v>
      </c>
      <c r="R31" s="100">
        <v>2010</v>
      </c>
      <c r="S31" s="100">
        <v>2011</v>
      </c>
      <c r="T31" s="100">
        <v>2012</v>
      </c>
      <c r="U31" s="101">
        <v>2013</v>
      </c>
      <c r="V31" s="101">
        <v>2014</v>
      </c>
      <c r="W31" s="84">
        <v>2017</v>
      </c>
      <c r="X31" s="84"/>
      <c r="Y31" s="84"/>
      <c r="Z31" s="84"/>
      <c r="AA31" s="84"/>
      <c r="AB31" s="84"/>
      <c r="AC31" s="84"/>
      <c r="AD31" s="84"/>
      <c r="AE31" s="84"/>
      <c r="AF31" s="84"/>
    </row>
    <row r="32" spans="1:65" x14ac:dyDescent="0.2">
      <c r="B32" t="s">
        <v>72</v>
      </c>
      <c r="C32" s="95">
        <v>1.4</v>
      </c>
      <c r="D32" s="95">
        <v>3.1</v>
      </c>
      <c r="E32" s="95">
        <v>4.5</v>
      </c>
      <c r="F32" s="95">
        <v>33</v>
      </c>
      <c r="G32" s="95">
        <v>315.8</v>
      </c>
      <c r="H32" s="95">
        <v>319.7</v>
      </c>
      <c r="I32" s="95">
        <v>256.89999999999998</v>
      </c>
      <c r="J32" s="95">
        <v>71.5</v>
      </c>
      <c r="K32" s="95">
        <v>104.6</v>
      </c>
      <c r="L32" s="95">
        <v>90.9</v>
      </c>
      <c r="M32" s="98">
        <v>59</v>
      </c>
      <c r="N32" s="95">
        <v>53.7</v>
      </c>
      <c r="O32" s="95">
        <v>52.2</v>
      </c>
      <c r="P32" s="95">
        <v>30</v>
      </c>
      <c r="Q32" s="95">
        <v>33</v>
      </c>
      <c r="R32" s="95">
        <v>33.700000000000003</v>
      </c>
      <c r="S32" s="95">
        <v>2.8</v>
      </c>
      <c r="T32" s="95">
        <v>0</v>
      </c>
      <c r="U32" s="84"/>
      <c r="V32" s="84"/>
      <c r="W32" s="84">
        <v>13</v>
      </c>
      <c r="X32" s="84"/>
      <c r="Y32" s="84"/>
      <c r="Z32" s="84"/>
      <c r="AA32" s="84"/>
      <c r="AB32" s="84"/>
      <c r="AC32" s="84"/>
      <c r="AD32" s="84"/>
      <c r="AE32" s="84"/>
      <c r="AF32" s="84"/>
    </row>
    <row r="33" spans="1:35" ht="26.25" x14ac:dyDescent="0.2">
      <c r="A33" s="51"/>
      <c r="B33" s="51"/>
      <c r="C33" s="92">
        <v>1940</v>
      </c>
      <c r="D33" s="85">
        <v>1950</v>
      </c>
      <c r="E33" s="85">
        <v>1960</v>
      </c>
      <c r="F33" s="85">
        <v>1970</v>
      </c>
      <c r="G33" s="85">
        <v>1980</v>
      </c>
      <c r="H33" s="85">
        <v>1990</v>
      </c>
      <c r="I33" s="85">
        <v>1991</v>
      </c>
      <c r="J33" s="85">
        <v>1992</v>
      </c>
      <c r="K33" s="85">
        <v>1993</v>
      </c>
      <c r="L33" s="85">
        <v>1994</v>
      </c>
      <c r="M33" s="85">
        <v>1995</v>
      </c>
      <c r="N33" s="85">
        <v>1996</v>
      </c>
      <c r="O33" s="85">
        <v>1997</v>
      </c>
      <c r="P33" s="85">
        <v>1998</v>
      </c>
      <c r="Q33" s="85">
        <v>1999</v>
      </c>
      <c r="R33" s="85">
        <v>2000</v>
      </c>
      <c r="S33" s="85">
        <v>2001</v>
      </c>
      <c r="T33" s="85">
        <v>2002</v>
      </c>
      <c r="U33" s="85">
        <v>2003</v>
      </c>
      <c r="V33" s="85">
        <v>2004</v>
      </c>
      <c r="W33" s="91">
        <v>2005</v>
      </c>
      <c r="X33" s="87">
        <v>2006</v>
      </c>
      <c r="Y33" s="87">
        <v>2007</v>
      </c>
      <c r="Z33" s="87">
        <v>2008</v>
      </c>
      <c r="AA33" s="87">
        <v>2009</v>
      </c>
      <c r="AB33" s="93">
        <v>2010</v>
      </c>
      <c r="AC33" s="93">
        <v>2011</v>
      </c>
      <c r="AD33" s="93">
        <v>2012</v>
      </c>
      <c r="AE33" s="94">
        <v>2013</v>
      </c>
      <c r="AF33" s="94">
        <v>2014</v>
      </c>
      <c r="AG33" s="94">
        <v>2015</v>
      </c>
      <c r="AH33" s="94">
        <v>2016</v>
      </c>
      <c r="AI33" s="118">
        <v>2017</v>
      </c>
    </row>
    <row r="34" spans="1:35" x14ac:dyDescent="0.2">
      <c r="B34" t="s">
        <v>73</v>
      </c>
      <c r="C34" s="84"/>
      <c r="D34" s="95"/>
      <c r="E34" s="95">
        <v>10</v>
      </c>
      <c r="F34" s="95">
        <v>23.6</v>
      </c>
      <c r="G34" s="95">
        <v>76.3</v>
      </c>
      <c r="H34" s="95">
        <v>213</v>
      </c>
      <c r="I34" s="95">
        <v>157.4</v>
      </c>
      <c r="J34" s="95">
        <v>110</v>
      </c>
      <c r="K34" s="95">
        <v>60.5</v>
      </c>
      <c r="L34" s="95">
        <v>53.8</v>
      </c>
      <c r="M34" s="95">
        <v>53</v>
      </c>
      <c r="N34" s="95">
        <v>41.8</v>
      </c>
      <c r="O34" s="95">
        <v>37</v>
      </c>
      <c r="P34" s="95">
        <v>38.4</v>
      </c>
      <c r="Q34" s="95">
        <v>33.200000000000003</v>
      </c>
      <c r="R34" s="95">
        <v>41.8</v>
      </c>
      <c r="S34" s="95">
        <v>52.9</v>
      </c>
      <c r="T34" s="95">
        <v>58.2</v>
      </c>
      <c r="U34" s="95">
        <v>48.8</v>
      </c>
      <c r="V34" s="95">
        <v>40</v>
      </c>
      <c r="W34" s="95">
        <v>40.299999999999997</v>
      </c>
      <c r="X34" s="95">
        <v>40.200000000000003</v>
      </c>
      <c r="Y34" s="95">
        <v>40.9</v>
      </c>
      <c r="Z34" s="95">
        <v>51.3</v>
      </c>
      <c r="AA34" s="95">
        <v>54</v>
      </c>
      <c r="AB34" s="95">
        <v>55.4</v>
      </c>
      <c r="AC34" s="95">
        <v>86.8</v>
      </c>
      <c r="AD34" s="95">
        <v>50.2</v>
      </c>
      <c r="AE34" s="95">
        <v>69.900000000000006</v>
      </c>
      <c r="AF34" s="95">
        <v>72.099999999999994</v>
      </c>
      <c r="AG34" s="8">
        <v>90.6</v>
      </c>
      <c r="AH34" s="8">
        <v>88.6</v>
      </c>
      <c r="AI34" s="95">
        <v>72.599999999999994</v>
      </c>
    </row>
    <row r="35" spans="1:35" s="11" customFormat="1" ht="26.25" x14ac:dyDescent="0.2">
      <c r="A35" s="107"/>
      <c r="B35" s="107"/>
      <c r="C35" s="92">
        <v>1940</v>
      </c>
      <c r="D35" s="85">
        <v>1950</v>
      </c>
      <c r="E35" s="85">
        <v>1960</v>
      </c>
      <c r="F35" s="85">
        <v>1970</v>
      </c>
      <c r="G35" s="85">
        <v>1980</v>
      </c>
      <c r="H35" s="85">
        <v>1990</v>
      </c>
      <c r="I35" s="85">
        <v>1991</v>
      </c>
      <c r="J35" s="85">
        <v>1992</v>
      </c>
      <c r="K35" s="85">
        <v>1993</v>
      </c>
      <c r="L35" s="85">
        <v>1994</v>
      </c>
      <c r="M35" s="85">
        <v>1995</v>
      </c>
      <c r="N35" s="85">
        <v>1996</v>
      </c>
      <c r="O35" s="85">
        <v>1997</v>
      </c>
      <c r="P35" s="85">
        <v>1998</v>
      </c>
      <c r="Q35" s="85">
        <v>1999</v>
      </c>
      <c r="R35" s="85">
        <v>2000</v>
      </c>
      <c r="S35" s="85">
        <v>2001</v>
      </c>
      <c r="T35" s="85">
        <v>2002</v>
      </c>
      <c r="U35" s="85">
        <v>2003</v>
      </c>
      <c r="V35" s="85">
        <v>2004</v>
      </c>
      <c r="W35" s="87">
        <v>2005</v>
      </c>
      <c r="X35" s="87">
        <v>2006</v>
      </c>
      <c r="Y35" s="87">
        <v>2007</v>
      </c>
      <c r="Z35" s="87">
        <v>2008</v>
      </c>
      <c r="AA35" s="87">
        <v>2009</v>
      </c>
      <c r="AB35" s="93">
        <v>2010</v>
      </c>
      <c r="AC35" s="93">
        <v>2011</v>
      </c>
      <c r="AD35" s="93">
        <v>2012</v>
      </c>
      <c r="AE35" s="94">
        <v>2013</v>
      </c>
      <c r="AF35" s="94">
        <v>2014</v>
      </c>
      <c r="AG35" s="94">
        <v>2015</v>
      </c>
      <c r="AH35" s="94">
        <v>2016</v>
      </c>
      <c r="AI35" s="11">
        <v>2017</v>
      </c>
    </row>
    <row r="36" spans="1:35" x14ac:dyDescent="0.2">
      <c r="B36" t="s">
        <v>74</v>
      </c>
      <c r="C36" s="102"/>
      <c r="D36" s="95"/>
      <c r="E36" s="95">
        <v>28.5</v>
      </c>
      <c r="F36" s="95">
        <v>3483</v>
      </c>
      <c r="G36" s="95">
        <v>8683.9</v>
      </c>
      <c r="H36" s="95">
        <v>26689.599999999999</v>
      </c>
      <c r="I36" s="95">
        <v>25363.4</v>
      </c>
      <c r="J36" s="95">
        <v>21425</v>
      </c>
      <c r="K36" s="95">
        <v>15248.7</v>
      </c>
      <c r="L36" s="95">
        <v>12434.6</v>
      </c>
      <c r="M36" s="95">
        <v>8145.2</v>
      </c>
      <c r="N36" s="95">
        <v>1500</v>
      </c>
      <c r="O36" s="95">
        <v>812</v>
      </c>
      <c r="P36" s="95">
        <v>987.3</v>
      </c>
      <c r="Q36" s="95">
        <v>513.79999999999995</v>
      </c>
      <c r="R36" s="95">
        <v>575.29999999999995</v>
      </c>
      <c r="S36" s="95">
        <v>616.79999999999995</v>
      </c>
      <c r="T36" s="95">
        <v>661.9</v>
      </c>
      <c r="U36" s="95">
        <v>584.79999999999995</v>
      </c>
      <c r="V36" s="95">
        <v>430.1</v>
      </c>
      <c r="W36" s="95">
        <v>169.7</v>
      </c>
      <c r="X36" s="95">
        <v>196.9</v>
      </c>
      <c r="Y36" s="95">
        <v>157.19999999999999</v>
      </c>
      <c r="Z36" s="95">
        <v>63.6</v>
      </c>
      <c r="AA36" s="95">
        <v>0</v>
      </c>
      <c r="AB36" s="95">
        <v>0</v>
      </c>
      <c r="AC36" s="95">
        <v>0</v>
      </c>
      <c r="AD36" s="95">
        <v>0</v>
      </c>
      <c r="AE36" s="95">
        <v>0</v>
      </c>
      <c r="AF36" s="95">
        <v>0</v>
      </c>
      <c r="AG36" s="95">
        <v>0</v>
      </c>
      <c r="AH36" s="95">
        <v>0</v>
      </c>
    </row>
    <row r="37" spans="1:35" x14ac:dyDescent="0.2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84"/>
      <c r="X37" s="84"/>
      <c r="Y37" s="84"/>
      <c r="Z37" s="84"/>
      <c r="AA37" s="84"/>
      <c r="AB37" s="84"/>
      <c r="AC37" s="84"/>
      <c r="AD37" s="84"/>
      <c r="AE37" s="84"/>
      <c r="AF37" s="84"/>
    </row>
    <row r="38" spans="1:35" ht="26.25" x14ac:dyDescent="0.2">
      <c r="A38" s="51"/>
      <c r="B38" s="51"/>
      <c r="C38" s="85">
        <v>1990</v>
      </c>
      <c r="D38" s="85">
        <v>1991</v>
      </c>
      <c r="E38" s="85">
        <v>1992</v>
      </c>
      <c r="F38" s="85">
        <v>1993</v>
      </c>
      <c r="G38" s="85">
        <v>1994</v>
      </c>
      <c r="H38" s="85">
        <v>1995</v>
      </c>
      <c r="I38" s="85">
        <v>1996</v>
      </c>
      <c r="J38" s="85">
        <v>1997</v>
      </c>
      <c r="K38" s="85">
        <v>1998</v>
      </c>
      <c r="L38" s="85">
        <v>1999</v>
      </c>
      <c r="M38" s="85">
        <v>2000</v>
      </c>
      <c r="N38" s="85">
        <v>2001</v>
      </c>
      <c r="O38" s="85">
        <v>2002</v>
      </c>
      <c r="P38" s="85">
        <v>2003</v>
      </c>
      <c r="Q38" s="85">
        <v>2004</v>
      </c>
      <c r="R38" s="85">
        <v>2005</v>
      </c>
      <c r="S38" s="87">
        <v>2006</v>
      </c>
      <c r="T38" s="87">
        <v>2007</v>
      </c>
      <c r="U38" s="87">
        <v>2008</v>
      </c>
      <c r="V38" s="87">
        <v>2009</v>
      </c>
      <c r="W38" s="93">
        <v>2010</v>
      </c>
      <c r="X38" s="93">
        <v>2011</v>
      </c>
      <c r="Y38" s="93">
        <v>2012</v>
      </c>
      <c r="Z38" s="94">
        <v>2013</v>
      </c>
      <c r="AA38" s="94">
        <v>2014</v>
      </c>
      <c r="AB38" s="94">
        <v>2015</v>
      </c>
      <c r="AC38" s="94">
        <v>2016</v>
      </c>
      <c r="AD38" s="84">
        <v>2017</v>
      </c>
      <c r="AE38" s="84"/>
      <c r="AF38" s="84"/>
    </row>
    <row r="39" spans="1:35" x14ac:dyDescent="0.2">
      <c r="B39" t="s">
        <v>75</v>
      </c>
      <c r="C39" s="95">
        <v>120.4</v>
      </c>
      <c r="D39" s="95">
        <v>203.3</v>
      </c>
      <c r="E39" s="95">
        <v>146.1</v>
      </c>
      <c r="F39" s="95">
        <v>100.6</v>
      </c>
      <c r="G39" s="95">
        <v>100.6</v>
      </c>
      <c r="H39" s="95">
        <v>34</v>
      </c>
      <c r="I39" s="95">
        <v>49.1</v>
      </c>
      <c r="J39" s="95">
        <v>36.6</v>
      </c>
      <c r="K39" s="95">
        <v>33</v>
      </c>
      <c r="L39" s="95">
        <v>27.2</v>
      </c>
      <c r="M39" s="95">
        <v>40</v>
      </c>
      <c r="N39" s="95">
        <v>53.9</v>
      </c>
      <c r="O39" s="95">
        <v>51.2</v>
      </c>
      <c r="P39" s="95">
        <v>50.5</v>
      </c>
      <c r="Q39" s="95">
        <v>53</v>
      </c>
      <c r="R39" s="95">
        <v>52.1</v>
      </c>
      <c r="S39" s="95">
        <v>55.2</v>
      </c>
      <c r="T39" s="95">
        <v>63.5</v>
      </c>
      <c r="U39" s="95">
        <v>62.3</v>
      </c>
      <c r="V39" s="95">
        <v>68.2</v>
      </c>
      <c r="W39" s="95">
        <v>78</v>
      </c>
      <c r="X39" s="95">
        <v>76.2</v>
      </c>
      <c r="Y39" s="95">
        <v>106.5</v>
      </c>
      <c r="Z39" s="95">
        <v>117.1</v>
      </c>
      <c r="AA39" s="95">
        <v>129</v>
      </c>
      <c r="AB39" s="8">
        <v>145.5</v>
      </c>
      <c r="AC39" s="8">
        <v>165</v>
      </c>
      <c r="AD39" s="84">
        <v>176.9</v>
      </c>
      <c r="AE39" s="84"/>
      <c r="AF39" s="84"/>
    </row>
    <row r="40" spans="1:35" x14ac:dyDescent="0.2"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2"/>
      <c r="U40" s="2"/>
      <c r="V40" s="2"/>
    </row>
    <row r="41" spans="1:35" x14ac:dyDescent="0.2"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2"/>
      <c r="U41" s="2"/>
      <c r="V41" s="2"/>
    </row>
    <row r="42" spans="1:35" x14ac:dyDescent="0.2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2"/>
      <c r="U42" s="2"/>
      <c r="V42" s="2"/>
    </row>
    <row r="43" spans="1:35" x14ac:dyDescent="0.2"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2"/>
      <c r="U43" s="2"/>
      <c r="V43" s="2"/>
    </row>
    <row r="44" spans="1:35" x14ac:dyDescent="0.2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2"/>
      <c r="U44" s="2"/>
      <c r="V44" s="2"/>
    </row>
    <row r="45" spans="1:35" x14ac:dyDescent="0.2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2"/>
      <c r="U45" s="2"/>
      <c r="V45" s="2"/>
    </row>
    <row r="46" spans="1:35" x14ac:dyDescent="0.2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2"/>
      <c r="U46" s="2"/>
      <c r="V46" s="2"/>
    </row>
    <row r="47" spans="1:35" x14ac:dyDescent="0.2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2"/>
      <c r="U47" s="2"/>
      <c r="V47" s="2"/>
    </row>
    <row r="48" spans="1:35" x14ac:dyDescent="0.2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2"/>
      <c r="U48" s="2"/>
      <c r="V48" s="2"/>
    </row>
    <row r="49" spans="3:22" x14ac:dyDescent="0.2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2"/>
      <c r="U49" s="2"/>
      <c r="V49" s="2"/>
    </row>
    <row r="50" spans="3:22" x14ac:dyDescent="0.2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2"/>
      <c r="U50" s="2"/>
      <c r="V50" s="2"/>
    </row>
    <row r="51" spans="3:22" x14ac:dyDescent="0.2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2"/>
      <c r="U51" s="2"/>
      <c r="V51" s="2"/>
    </row>
    <row r="52" spans="3:22" x14ac:dyDescent="0.2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2"/>
      <c r="U52" s="2"/>
      <c r="V52" s="2"/>
    </row>
    <row r="53" spans="3:22" x14ac:dyDescent="0.2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2"/>
      <c r="U53" s="2"/>
      <c r="V53" s="2"/>
    </row>
    <row r="54" spans="3:22" x14ac:dyDescent="0.2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2"/>
      <c r="U54" s="2"/>
      <c r="V54" s="2"/>
    </row>
    <row r="55" spans="3:22" x14ac:dyDescent="0.2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2"/>
      <c r="U55" s="2"/>
      <c r="V55" s="2"/>
    </row>
    <row r="56" spans="3:22" x14ac:dyDescent="0.2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2"/>
      <c r="U56" s="2"/>
      <c r="V56" s="2"/>
    </row>
    <row r="57" spans="3:22" x14ac:dyDescent="0.2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2"/>
      <c r="U57" s="2"/>
      <c r="V57" s="2"/>
    </row>
    <row r="58" spans="3:22" x14ac:dyDescent="0.2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2"/>
      <c r="U58" s="2"/>
      <c r="V58" s="2"/>
    </row>
    <row r="59" spans="3:22" x14ac:dyDescent="0.2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2"/>
      <c r="U59" s="2"/>
      <c r="V59" s="2"/>
    </row>
    <row r="60" spans="3:22" x14ac:dyDescent="0.2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2"/>
      <c r="U60" s="2"/>
      <c r="V60" s="2"/>
    </row>
    <row r="61" spans="3:22" x14ac:dyDescent="0.2"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2"/>
      <c r="U61" s="2"/>
      <c r="V61" s="2"/>
    </row>
    <row r="62" spans="3:22" x14ac:dyDescent="0.2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2"/>
      <c r="U62" s="2"/>
      <c r="V62" s="2"/>
    </row>
    <row r="63" spans="3:22" x14ac:dyDescent="0.2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2"/>
      <c r="U63" s="2"/>
      <c r="V63" s="2"/>
    </row>
    <row r="64" spans="3:22" x14ac:dyDescent="0.2"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2"/>
      <c r="U64" s="2"/>
      <c r="V64" s="2"/>
    </row>
  </sheetData>
  <mergeCells count="52">
    <mergeCell ref="AH5:AH7"/>
    <mergeCell ref="I5:I7"/>
    <mergeCell ref="AK6:AK7"/>
    <mergeCell ref="AL6:AL7"/>
    <mergeCell ref="AJ6:AJ7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AG5:AG7"/>
    <mergeCell ref="E5:E7"/>
    <mergeCell ref="F5:F7"/>
    <mergeCell ref="B5:B7"/>
    <mergeCell ref="G5:G7"/>
    <mergeCell ref="H5:H7"/>
    <mergeCell ref="A2:W2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A5:A7"/>
    <mergeCell ref="C5:C7"/>
    <mergeCell ref="D5:D7"/>
    <mergeCell ref="AI5:AI7"/>
    <mergeCell ref="AP22:AQ22"/>
    <mergeCell ref="AL22:AM22"/>
    <mergeCell ref="AN22:AO22"/>
    <mergeCell ref="AJ22:AK22"/>
    <mergeCell ref="AN5:AO5"/>
    <mergeCell ref="AP5:AQ5"/>
    <mergeCell ref="AJ5:AK5"/>
    <mergeCell ref="AL5:AM5"/>
    <mergeCell ref="AQ6:AQ7"/>
    <mergeCell ref="AM6:AM7"/>
    <mergeCell ref="AN6:AN7"/>
    <mergeCell ref="AO6:AO7"/>
    <mergeCell ref="AP6:AP7"/>
  </mergeCells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297"/>
  <sheetViews>
    <sheetView workbookViewId="0">
      <selection sqref="A1:A4"/>
    </sheetView>
  </sheetViews>
  <sheetFormatPr defaultRowHeight="12.75" x14ac:dyDescent="0.2"/>
  <cols>
    <col min="1" max="1" width="15.7109375" customWidth="1"/>
    <col min="2" max="2" width="13.140625" customWidth="1"/>
    <col min="3" max="3" width="7.28515625" customWidth="1"/>
    <col min="4" max="4" width="4.85546875" customWidth="1"/>
    <col min="5" max="5" width="6.140625" customWidth="1"/>
    <col min="6" max="12" width="4.85546875" customWidth="1"/>
    <col min="13" max="13" width="6.28515625" customWidth="1"/>
    <col min="14" max="22" width="8.42578125" customWidth="1"/>
    <col min="25" max="25" width="4.140625" customWidth="1"/>
    <col min="26" max="26" width="25.5703125" customWidth="1"/>
    <col min="34" max="36" width="9.5703125" bestFit="1" customWidth="1"/>
    <col min="37" max="37" width="6" customWidth="1"/>
    <col min="38" max="38" width="22" customWidth="1"/>
    <col min="39" max="41" width="5.85546875" customWidth="1"/>
    <col min="42" max="42" width="6" customWidth="1"/>
    <col min="43" max="43" width="5.85546875" customWidth="1"/>
    <col min="44" max="44" width="6.5703125" customWidth="1"/>
    <col min="45" max="55" width="5.85546875" customWidth="1"/>
    <col min="56" max="56" width="5.5703125" customWidth="1"/>
    <col min="57" max="59" width="6.28515625" customWidth="1"/>
    <col min="62" max="62" width="4.7109375" customWidth="1"/>
    <col min="63" max="63" width="24.5703125" customWidth="1"/>
    <col min="64" max="66" width="5.5703125" customWidth="1"/>
    <col min="67" max="67" width="9" customWidth="1"/>
    <col min="68" max="68" width="3.42578125" customWidth="1"/>
    <col min="69" max="69" width="23.28515625" customWidth="1"/>
    <col min="70" max="74" width="5.42578125" customWidth="1"/>
    <col min="75" max="75" width="7.7109375" customWidth="1"/>
    <col min="76" max="91" width="5.42578125" customWidth="1"/>
    <col min="92" max="92" width="4.140625" customWidth="1"/>
    <col min="93" max="93" width="27.42578125" customWidth="1"/>
    <col min="94" max="96" width="5.140625" customWidth="1"/>
    <col min="97" max="100" width="4.42578125" customWidth="1"/>
    <col min="101" max="102" width="5.28515625" customWidth="1"/>
    <col min="103" max="109" width="4.5703125" customWidth="1"/>
    <col min="110" max="110" width="5" customWidth="1"/>
    <col min="111" max="111" width="4.5703125" customWidth="1"/>
    <col min="112" max="112" width="5.28515625" customWidth="1"/>
    <col min="113" max="114" width="5" customWidth="1"/>
  </cols>
  <sheetData>
    <row r="1" spans="1:114" ht="14.25" customHeight="1" x14ac:dyDescent="0.2">
      <c r="A1" s="187" t="s">
        <v>0</v>
      </c>
      <c r="B1" s="187" t="s">
        <v>1</v>
      </c>
      <c r="C1" s="188" t="s">
        <v>2</v>
      </c>
      <c r="D1" s="195" t="s">
        <v>55</v>
      </c>
      <c r="E1" s="196"/>
      <c r="F1" s="196"/>
      <c r="G1" s="196"/>
      <c r="H1" s="196"/>
      <c r="I1" s="196"/>
      <c r="J1" s="196"/>
      <c r="K1" s="196"/>
      <c r="L1" s="196"/>
      <c r="M1" s="191" t="s">
        <v>77</v>
      </c>
      <c r="N1" s="197" t="s">
        <v>49</v>
      </c>
      <c r="O1" s="198"/>
      <c r="P1" s="198"/>
      <c r="Q1" s="198"/>
      <c r="R1" s="198"/>
      <c r="S1" s="198"/>
      <c r="T1" s="198"/>
      <c r="U1" s="198"/>
      <c r="V1" s="198"/>
      <c r="W1" s="13"/>
      <c r="X1" s="13"/>
      <c r="Y1" s="15"/>
      <c r="Z1" s="15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8" t="s">
        <v>230</v>
      </c>
      <c r="AL1" s="169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</row>
    <row r="2" spans="1:114" ht="12.75" customHeight="1" x14ac:dyDescent="0.2">
      <c r="A2" s="187"/>
      <c r="B2" s="187"/>
      <c r="C2" s="189"/>
      <c r="D2" s="192">
        <v>2000</v>
      </c>
      <c r="E2" s="185">
        <v>2001</v>
      </c>
      <c r="F2" s="185">
        <v>2002</v>
      </c>
      <c r="G2" s="185">
        <v>2003</v>
      </c>
      <c r="H2" s="185">
        <v>2004</v>
      </c>
      <c r="I2" s="185">
        <v>2005</v>
      </c>
      <c r="J2" s="185">
        <v>2006</v>
      </c>
      <c r="K2" s="185">
        <v>2007</v>
      </c>
      <c r="L2" s="185">
        <v>2008</v>
      </c>
      <c r="M2" s="191"/>
      <c r="N2" s="185">
        <v>2000</v>
      </c>
      <c r="O2" s="185">
        <v>2001</v>
      </c>
      <c r="P2" s="185">
        <v>2002</v>
      </c>
      <c r="Q2" s="185">
        <v>2003</v>
      </c>
      <c r="R2" s="185">
        <v>2004</v>
      </c>
      <c r="S2" s="185">
        <v>2005</v>
      </c>
      <c r="T2" s="185">
        <v>2006</v>
      </c>
      <c r="U2" s="185">
        <v>2007</v>
      </c>
      <c r="V2" s="185">
        <v>2008</v>
      </c>
      <c r="W2" s="13"/>
      <c r="X2" s="13"/>
      <c r="Y2" s="194" t="s">
        <v>203</v>
      </c>
      <c r="Z2" s="182" t="s">
        <v>204</v>
      </c>
      <c r="AA2" s="147" t="s">
        <v>205</v>
      </c>
      <c r="AB2" s="147"/>
      <c r="AC2" s="147"/>
      <c r="AD2" s="147"/>
      <c r="AE2" s="147"/>
      <c r="AF2" s="147"/>
      <c r="AG2" s="147"/>
      <c r="AH2" s="147"/>
      <c r="AI2" s="147"/>
      <c r="AJ2" s="17"/>
      <c r="AK2" s="172" t="s">
        <v>203</v>
      </c>
      <c r="AL2" s="175" t="s">
        <v>204</v>
      </c>
      <c r="AM2" s="213" t="s">
        <v>205</v>
      </c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F2" s="213"/>
      <c r="BG2" s="214"/>
    </row>
    <row r="3" spans="1:114" ht="15" x14ac:dyDescent="0.2">
      <c r="A3" s="187"/>
      <c r="B3" s="187"/>
      <c r="C3" s="189"/>
      <c r="D3" s="192"/>
      <c r="E3" s="185"/>
      <c r="F3" s="185"/>
      <c r="G3" s="185"/>
      <c r="H3" s="185"/>
      <c r="I3" s="185"/>
      <c r="J3" s="185"/>
      <c r="K3" s="185"/>
      <c r="L3" s="185"/>
      <c r="M3" s="191"/>
      <c r="N3" s="185"/>
      <c r="O3" s="185"/>
      <c r="P3" s="185"/>
      <c r="Q3" s="185"/>
      <c r="R3" s="185"/>
      <c r="S3" s="185"/>
      <c r="T3" s="185"/>
      <c r="U3" s="185"/>
      <c r="V3" s="185"/>
      <c r="W3" s="13"/>
      <c r="X3" s="13"/>
      <c r="Y3" s="173"/>
      <c r="Z3" s="183"/>
      <c r="AA3" s="186">
        <v>2000</v>
      </c>
      <c r="AB3" s="186">
        <v>2001</v>
      </c>
      <c r="AC3" s="186">
        <v>2002</v>
      </c>
      <c r="AD3" s="186">
        <v>2003</v>
      </c>
      <c r="AE3" s="186">
        <v>2004</v>
      </c>
      <c r="AF3" s="186">
        <v>2005</v>
      </c>
      <c r="AG3" s="186">
        <v>2006</v>
      </c>
      <c r="AH3" s="186">
        <v>2007</v>
      </c>
      <c r="AI3" s="186">
        <v>2008</v>
      </c>
      <c r="AJ3" s="17"/>
      <c r="AK3" s="173"/>
      <c r="AL3" s="176"/>
      <c r="AM3" s="178">
        <v>1940</v>
      </c>
      <c r="AN3" s="178">
        <v>1950</v>
      </c>
      <c r="AO3" s="178">
        <v>1960</v>
      </c>
      <c r="AP3" s="178">
        <v>1970</v>
      </c>
      <c r="AQ3" s="178">
        <v>1980</v>
      </c>
      <c r="AR3" s="178">
        <v>1990</v>
      </c>
      <c r="AS3" s="171">
        <v>2000</v>
      </c>
      <c r="AT3" s="171">
        <v>2001</v>
      </c>
      <c r="AU3" s="171">
        <v>2002</v>
      </c>
      <c r="AV3" s="171">
        <v>2003</v>
      </c>
      <c r="AW3" s="171">
        <v>2004</v>
      </c>
      <c r="AX3" s="171">
        <v>2005</v>
      </c>
      <c r="AY3" s="171">
        <v>2006</v>
      </c>
      <c r="AZ3" s="171">
        <v>2007</v>
      </c>
      <c r="BA3" s="171">
        <v>2008</v>
      </c>
      <c r="BB3" s="157">
        <v>2009</v>
      </c>
      <c r="BC3" s="157">
        <v>2010</v>
      </c>
      <c r="BD3" s="157">
        <v>2011</v>
      </c>
      <c r="BE3" s="219">
        <v>2012</v>
      </c>
      <c r="BF3" s="217">
        <v>2013</v>
      </c>
      <c r="BG3" s="221">
        <v>2014</v>
      </c>
      <c r="BP3" s="71"/>
      <c r="BQ3" s="71"/>
      <c r="BR3" s="72" t="s">
        <v>319</v>
      </c>
      <c r="BS3" s="72"/>
      <c r="BT3" s="72"/>
      <c r="BU3" s="72"/>
      <c r="BV3" s="72"/>
      <c r="BW3" s="72"/>
      <c r="BX3" s="72"/>
      <c r="BY3" s="72"/>
      <c r="BZ3" s="72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32"/>
      <c r="CS3" s="70" t="s">
        <v>299</v>
      </c>
      <c r="CT3" s="70"/>
      <c r="CU3" s="70"/>
    </row>
    <row r="4" spans="1:114" x14ac:dyDescent="0.2">
      <c r="A4" s="187"/>
      <c r="B4" s="187"/>
      <c r="C4" s="190"/>
      <c r="D4" s="193"/>
      <c r="E4" s="185"/>
      <c r="F4" s="185"/>
      <c r="G4" s="185"/>
      <c r="H4" s="185"/>
      <c r="I4" s="185"/>
      <c r="J4" s="185"/>
      <c r="K4" s="185"/>
      <c r="L4" s="185"/>
      <c r="M4" s="191"/>
      <c r="N4" s="185"/>
      <c r="O4" s="185"/>
      <c r="P4" s="185"/>
      <c r="Q4" s="185"/>
      <c r="R4" s="185"/>
      <c r="S4" s="185"/>
      <c r="T4" s="185"/>
      <c r="U4" s="185"/>
      <c r="V4" s="185"/>
      <c r="W4" s="13"/>
      <c r="X4" s="13"/>
      <c r="Y4" s="174"/>
      <c r="Z4" s="184"/>
      <c r="AA4" s="171"/>
      <c r="AB4" s="171"/>
      <c r="AC4" s="171"/>
      <c r="AD4" s="171"/>
      <c r="AE4" s="171"/>
      <c r="AF4" s="171"/>
      <c r="AG4" s="171"/>
      <c r="AH4" s="171"/>
      <c r="AI4" s="171"/>
      <c r="AJ4" s="17"/>
      <c r="AK4" s="174"/>
      <c r="AL4" s="177"/>
      <c r="AM4" s="170"/>
      <c r="AN4" s="170"/>
      <c r="AO4" s="170"/>
      <c r="AP4" s="170"/>
      <c r="AQ4" s="170"/>
      <c r="AR4" s="170"/>
      <c r="AS4" s="153"/>
      <c r="AT4" s="153"/>
      <c r="AU4" s="153"/>
      <c r="AV4" s="153"/>
      <c r="AW4" s="153"/>
      <c r="AX4" s="153"/>
      <c r="AY4" s="153"/>
      <c r="AZ4" s="153"/>
      <c r="BA4" s="153"/>
      <c r="BB4" s="152"/>
      <c r="BC4" s="152"/>
      <c r="BD4" s="152"/>
      <c r="BE4" s="157"/>
      <c r="BF4" s="218"/>
      <c r="BG4" s="222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S4" s="70"/>
      <c r="CT4" s="70"/>
      <c r="CU4" s="70"/>
    </row>
    <row r="5" spans="1:114" x14ac:dyDescent="0.2">
      <c r="A5" s="20" t="s">
        <v>65</v>
      </c>
      <c r="B5" s="20" t="s">
        <v>66</v>
      </c>
      <c r="C5" s="20" t="s">
        <v>67</v>
      </c>
      <c r="D5" s="20"/>
      <c r="E5" s="20">
        <v>1</v>
      </c>
      <c r="F5" s="20">
        <v>2</v>
      </c>
      <c r="G5" s="20">
        <v>3</v>
      </c>
      <c r="H5" s="20">
        <v>4</v>
      </c>
      <c r="I5" s="20">
        <v>5</v>
      </c>
      <c r="J5" s="20">
        <v>6</v>
      </c>
      <c r="K5" s="20">
        <v>7</v>
      </c>
      <c r="L5" s="20">
        <v>8</v>
      </c>
      <c r="M5" s="20">
        <v>12</v>
      </c>
      <c r="N5" s="20">
        <v>13</v>
      </c>
      <c r="O5" s="20">
        <v>14</v>
      </c>
      <c r="P5" s="20">
        <v>15</v>
      </c>
      <c r="Q5" s="20">
        <v>16</v>
      </c>
      <c r="R5" s="20">
        <v>17</v>
      </c>
      <c r="S5" s="20">
        <v>18</v>
      </c>
      <c r="T5" s="20">
        <v>19</v>
      </c>
      <c r="U5" s="20">
        <v>20</v>
      </c>
      <c r="V5" s="20">
        <v>21</v>
      </c>
      <c r="W5" s="5"/>
      <c r="X5" s="5"/>
      <c r="Y5">
        <v>1</v>
      </c>
      <c r="Z5" s="1" t="s">
        <v>206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>
        <v>1</v>
      </c>
      <c r="AL5" s="1" t="s">
        <v>206</v>
      </c>
      <c r="AM5" s="1"/>
      <c r="AN5" s="1"/>
      <c r="AO5" s="1"/>
      <c r="AP5" s="1"/>
      <c r="AQ5" s="1"/>
      <c r="AR5" s="1"/>
      <c r="AS5" s="3"/>
      <c r="AT5" s="3"/>
      <c r="AU5" s="3"/>
      <c r="AV5" s="3"/>
      <c r="AW5" s="3"/>
      <c r="AX5" s="5"/>
      <c r="AY5" s="5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</row>
    <row r="6" spans="1:114" x14ac:dyDescent="0.2">
      <c r="A6" s="21" t="s">
        <v>78</v>
      </c>
      <c r="B6" s="21" t="s">
        <v>22</v>
      </c>
      <c r="C6" s="21" t="s">
        <v>85</v>
      </c>
      <c r="D6" s="21">
        <v>575.29999999999995</v>
      </c>
      <c r="E6" s="21">
        <v>616.5</v>
      </c>
      <c r="F6" s="21">
        <v>661.9</v>
      </c>
      <c r="G6" s="21">
        <v>584.79999999999995</v>
      </c>
      <c r="H6" s="21">
        <v>430.1</v>
      </c>
      <c r="I6" s="21">
        <v>169.7</v>
      </c>
      <c r="J6" s="21">
        <v>196.9</v>
      </c>
      <c r="K6" s="21">
        <v>157.19999999999999</v>
      </c>
      <c r="L6" s="21">
        <v>63.6</v>
      </c>
      <c r="M6" s="21">
        <v>293.89999999999998</v>
      </c>
      <c r="N6" s="22">
        <f>D6*M6</f>
        <v>169080.66999999998</v>
      </c>
      <c r="O6" s="23">
        <f>E6*M6</f>
        <v>181189.34999999998</v>
      </c>
      <c r="P6" s="23">
        <f>F6*M6</f>
        <v>194532.40999999997</v>
      </c>
      <c r="Q6" s="23">
        <f>G6*M6</f>
        <v>171872.71999999997</v>
      </c>
      <c r="R6" s="23">
        <f>H6*M6</f>
        <v>126406.39</v>
      </c>
      <c r="S6" s="23">
        <f>I6*M6</f>
        <v>49874.829999999994</v>
      </c>
      <c r="T6" s="23">
        <f>J6*M6</f>
        <v>57868.909999999996</v>
      </c>
      <c r="U6" s="23">
        <f>K6*M6</f>
        <v>46201.079999999994</v>
      </c>
      <c r="V6" s="23">
        <f>L6*M6</f>
        <v>18692.039999999997</v>
      </c>
      <c r="Z6" s="1" t="s">
        <v>207</v>
      </c>
      <c r="AA6" s="18">
        <f>SUM(AA7:AA8)</f>
        <v>709806.27</v>
      </c>
      <c r="AB6" s="18">
        <f t="shared" ref="AB6:AI6" si="0">SUM(AB7:AB8)</f>
        <v>775438.54999999993</v>
      </c>
      <c r="AC6" s="18">
        <f t="shared" si="0"/>
        <v>798388.40999999992</v>
      </c>
      <c r="AD6" s="18">
        <f t="shared" si="0"/>
        <v>859445.12</v>
      </c>
      <c r="AE6" s="18">
        <f t="shared" si="0"/>
        <v>840054.39</v>
      </c>
      <c r="AF6" s="18">
        <f t="shared" si="0"/>
        <v>764895.23</v>
      </c>
      <c r="AG6" s="18">
        <f t="shared" si="0"/>
        <v>815433.71000000008</v>
      </c>
      <c r="AH6" s="18">
        <f t="shared" si="0"/>
        <v>917675.08</v>
      </c>
      <c r="AI6" s="18">
        <f t="shared" si="0"/>
        <v>873697.24000000011</v>
      </c>
      <c r="AL6" s="1" t="s">
        <v>207</v>
      </c>
      <c r="AM6" s="1">
        <v>0</v>
      </c>
      <c r="AN6" s="1">
        <v>0</v>
      </c>
      <c r="AO6" s="1">
        <v>83.7</v>
      </c>
      <c r="AP6" s="1">
        <v>1023.6</v>
      </c>
      <c r="AQ6" s="1">
        <v>2549.1999999999998</v>
      </c>
      <c r="AR6" s="1">
        <v>9496.4</v>
      </c>
      <c r="AS6" s="21">
        <v>709.8</v>
      </c>
      <c r="AT6" s="21">
        <v>775.4</v>
      </c>
      <c r="AU6" s="21">
        <v>798.4</v>
      </c>
      <c r="AV6" s="21">
        <v>859.4</v>
      </c>
      <c r="AW6" s="21">
        <v>853.8</v>
      </c>
      <c r="AX6" s="21">
        <v>772.9</v>
      </c>
      <c r="AY6" s="21">
        <v>815.4</v>
      </c>
      <c r="AZ6" s="21">
        <v>917.6</v>
      </c>
      <c r="BA6" s="21">
        <v>873.6</v>
      </c>
      <c r="BB6" s="19">
        <v>936</v>
      </c>
      <c r="BC6" s="19">
        <v>1070.5</v>
      </c>
      <c r="BD6" s="19">
        <v>1045.8</v>
      </c>
      <c r="BE6" s="19">
        <v>1461.6</v>
      </c>
      <c r="BF6" s="19">
        <v>1607.1</v>
      </c>
      <c r="BG6" s="19">
        <f>BF6+BI6</f>
        <v>1877.0927999999999</v>
      </c>
      <c r="BH6" s="19">
        <v>16.8</v>
      </c>
      <c r="BI6">
        <f>BF6*BH6/100</f>
        <v>269.99279999999999</v>
      </c>
      <c r="BJ6" s="42">
        <f>BG6/BF6*100</f>
        <v>116.8</v>
      </c>
      <c r="BP6" s="220"/>
      <c r="BQ6" s="204"/>
      <c r="BR6" s="210" t="s">
        <v>226</v>
      </c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01"/>
      <c r="CO6" s="199"/>
      <c r="CP6" s="212" t="s">
        <v>300</v>
      </c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</row>
    <row r="7" spans="1:114" x14ac:dyDescent="0.2">
      <c r="A7" s="21" t="s">
        <v>79</v>
      </c>
      <c r="B7" s="21" t="s">
        <v>60</v>
      </c>
      <c r="C7" s="21" t="s">
        <v>86</v>
      </c>
      <c r="D7" s="21">
        <v>28.8</v>
      </c>
      <c r="E7" s="21">
        <v>31.4</v>
      </c>
      <c r="F7" s="21">
        <v>32.700000000000003</v>
      </c>
      <c r="G7" s="21">
        <v>40</v>
      </c>
      <c r="H7" s="21">
        <v>42</v>
      </c>
      <c r="I7" s="21">
        <v>42.6</v>
      </c>
      <c r="J7" s="21">
        <v>45.6</v>
      </c>
      <c r="K7" s="21">
        <v>53</v>
      </c>
      <c r="L7" s="21">
        <v>50.1</v>
      </c>
      <c r="M7" s="21">
        <v>13724</v>
      </c>
      <c r="N7" s="22">
        <f>D7*M7</f>
        <v>395251.20000000001</v>
      </c>
      <c r="O7" s="23">
        <f>E7*M7</f>
        <v>430933.6</v>
      </c>
      <c r="P7" s="23">
        <f>F7*M7</f>
        <v>448774.80000000005</v>
      </c>
      <c r="Q7" s="23">
        <f>G7*M7</f>
        <v>548960</v>
      </c>
      <c r="R7" s="23">
        <f>H7*M7</f>
        <v>576408</v>
      </c>
      <c r="S7" s="23">
        <f>I7*M7</f>
        <v>584642.4</v>
      </c>
      <c r="T7" s="23">
        <f>J7*M7</f>
        <v>625814.4</v>
      </c>
      <c r="U7" s="23">
        <f>K7*M7</f>
        <v>727372</v>
      </c>
      <c r="V7" s="23">
        <f>L7*M7</f>
        <v>687572.4</v>
      </c>
      <c r="Z7" s="1" t="s">
        <v>208</v>
      </c>
      <c r="AA7" s="18">
        <f t="shared" ref="AA7:AI7" si="1">N6</f>
        <v>169080.66999999998</v>
      </c>
      <c r="AB7" s="18">
        <f t="shared" si="1"/>
        <v>181189.34999999998</v>
      </c>
      <c r="AC7" s="18">
        <f t="shared" si="1"/>
        <v>194532.40999999997</v>
      </c>
      <c r="AD7" s="18">
        <f t="shared" si="1"/>
        <v>171872.71999999997</v>
      </c>
      <c r="AE7" s="18">
        <f t="shared" si="1"/>
        <v>126406.39</v>
      </c>
      <c r="AF7" s="18">
        <f t="shared" si="1"/>
        <v>49874.829999999994</v>
      </c>
      <c r="AG7" s="18">
        <f t="shared" si="1"/>
        <v>57868.909999999996</v>
      </c>
      <c r="AH7" s="18">
        <f t="shared" si="1"/>
        <v>46201.079999999994</v>
      </c>
      <c r="AI7" s="18">
        <f t="shared" si="1"/>
        <v>18692.039999999997</v>
      </c>
      <c r="AL7" s="1" t="s">
        <v>208</v>
      </c>
      <c r="AM7" s="1">
        <v>0</v>
      </c>
      <c r="AN7" s="1">
        <v>0</v>
      </c>
      <c r="AO7" s="1">
        <v>83.7</v>
      </c>
      <c r="AP7" s="1">
        <v>1023.6</v>
      </c>
      <c r="AQ7" s="1">
        <v>2549.1999999999998</v>
      </c>
      <c r="AR7" s="1">
        <v>7844.1</v>
      </c>
      <c r="AS7" s="21">
        <v>169.1</v>
      </c>
      <c r="AT7" s="21">
        <v>181.2</v>
      </c>
      <c r="AU7" s="21">
        <v>194.5</v>
      </c>
      <c r="AV7" s="21">
        <v>171.8</v>
      </c>
      <c r="AW7" s="21">
        <v>126.4</v>
      </c>
      <c r="AX7" s="21">
        <v>49.8</v>
      </c>
      <c r="AY7" s="21">
        <v>57.8</v>
      </c>
      <c r="AZ7" s="21">
        <v>46.2</v>
      </c>
      <c r="BA7" s="21">
        <v>18.7</v>
      </c>
      <c r="BB7" s="4">
        <v>0</v>
      </c>
      <c r="BC7" s="4">
        <v>0</v>
      </c>
      <c r="BD7" s="4">
        <v>0</v>
      </c>
      <c r="BE7" s="19">
        <v>0</v>
      </c>
      <c r="BF7" s="4">
        <v>0</v>
      </c>
      <c r="BG7" s="19">
        <f t="shared" ref="BG7:BG16" si="2">BF7+BI7</f>
        <v>0</v>
      </c>
      <c r="BI7">
        <f t="shared" ref="BI7:BI31" si="3">BF7*BH7/100</f>
        <v>0</v>
      </c>
      <c r="BJ7" s="42" t="e">
        <f t="shared" ref="BJ7:BJ31" si="4">BG7/BF7*100</f>
        <v>#DIV/0!</v>
      </c>
      <c r="BP7" s="220"/>
      <c r="BQ7" s="204"/>
      <c r="BR7" s="108">
        <v>1940</v>
      </c>
      <c r="BS7" s="108">
        <v>1950</v>
      </c>
      <c r="BT7" s="108">
        <v>1960</v>
      </c>
      <c r="BU7" s="108">
        <v>1970</v>
      </c>
      <c r="BV7" s="108">
        <v>1980</v>
      </c>
      <c r="BW7" s="108">
        <v>1990</v>
      </c>
      <c r="BX7" s="108">
        <v>2000</v>
      </c>
      <c r="BY7" s="108">
        <v>2001</v>
      </c>
      <c r="BZ7" s="108">
        <v>2002</v>
      </c>
      <c r="CA7" s="108">
        <v>2003</v>
      </c>
      <c r="CB7" s="108">
        <v>2004</v>
      </c>
      <c r="CC7" s="108">
        <v>2005</v>
      </c>
      <c r="CD7" s="108">
        <v>2006</v>
      </c>
      <c r="CE7" s="108">
        <v>2007</v>
      </c>
      <c r="CF7" s="108">
        <v>2008</v>
      </c>
      <c r="CG7" s="108">
        <v>2009</v>
      </c>
      <c r="CH7" s="108">
        <v>2010</v>
      </c>
      <c r="CI7" s="108">
        <v>2011</v>
      </c>
      <c r="CJ7" s="108">
        <v>2012</v>
      </c>
      <c r="CK7" s="108">
        <v>2013</v>
      </c>
      <c r="CL7" s="108">
        <v>2014</v>
      </c>
      <c r="CM7" s="109">
        <v>2015</v>
      </c>
      <c r="CN7" s="202"/>
      <c r="CO7" s="200"/>
      <c r="CP7" s="110">
        <v>1950</v>
      </c>
      <c r="CQ7" s="110">
        <v>1960</v>
      </c>
      <c r="CR7" s="110">
        <v>1970</v>
      </c>
      <c r="CS7" s="110">
        <v>1980</v>
      </c>
      <c r="CT7" s="110">
        <v>1990</v>
      </c>
      <c r="CU7" s="110">
        <v>2000</v>
      </c>
      <c r="CV7" s="110">
        <v>2001</v>
      </c>
      <c r="CW7" s="110">
        <v>2002</v>
      </c>
      <c r="CX7" s="110">
        <v>2003</v>
      </c>
      <c r="CY7" s="110">
        <v>2004</v>
      </c>
      <c r="CZ7" s="110">
        <v>2005</v>
      </c>
      <c r="DA7" s="110">
        <v>2006</v>
      </c>
      <c r="DB7" s="110">
        <v>2007</v>
      </c>
      <c r="DC7" s="110">
        <v>2008</v>
      </c>
      <c r="DD7" s="110">
        <v>2009</v>
      </c>
      <c r="DE7" s="110">
        <v>2010</v>
      </c>
      <c r="DF7" s="111">
        <v>2011</v>
      </c>
      <c r="DG7" s="110">
        <v>2012</v>
      </c>
      <c r="DH7" s="112">
        <v>2013</v>
      </c>
      <c r="DI7" s="110">
        <v>2014</v>
      </c>
      <c r="DJ7" s="110">
        <v>2015</v>
      </c>
    </row>
    <row r="8" spans="1:114" x14ac:dyDescent="0.2">
      <c r="A8" s="21" t="s">
        <v>80</v>
      </c>
      <c r="B8" s="21" t="s">
        <v>60</v>
      </c>
      <c r="C8" s="21" t="s">
        <v>86</v>
      </c>
      <c r="D8" s="21">
        <v>3.5</v>
      </c>
      <c r="E8" s="21">
        <v>5.8</v>
      </c>
      <c r="F8" s="21">
        <v>7.3</v>
      </c>
      <c r="G8" s="21">
        <v>4.5999999999999996</v>
      </c>
      <c r="H8" s="21">
        <v>3.4</v>
      </c>
      <c r="I8" s="21">
        <v>3.6</v>
      </c>
      <c r="J8" s="21">
        <v>3.5</v>
      </c>
      <c r="K8" s="21">
        <v>3.7</v>
      </c>
      <c r="L8" s="21">
        <v>4.0999999999999996</v>
      </c>
      <c r="M8" s="21">
        <v>13724</v>
      </c>
      <c r="N8" s="24">
        <f>D8*M8</f>
        <v>48034</v>
      </c>
      <c r="O8" s="21">
        <f>E8*M8</f>
        <v>79599.199999999997</v>
      </c>
      <c r="P8" s="21">
        <f>F8*M8</f>
        <v>100185.2</v>
      </c>
      <c r="Q8" s="21">
        <f>G8*M8</f>
        <v>63130.399999999994</v>
      </c>
      <c r="R8" s="21">
        <f>H8*M8</f>
        <v>46661.599999999999</v>
      </c>
      <c r="S8" s="21">
        <f>I8*M8</f>
        <v>49406.400000000001</v>
      </c>
      <c r="T8" s="21">
        <f>J8*M8</f>
        <v>48034</v>
      </c>
      <c r="U8" s="21">
        <f>K8*M8</f>
        <v>50778.8</v>
      </c>
      <c r="V8" s="21">
        <f>L8*M8</f>
        <v>56268.399999999994</v>
      </c>
      <c r="Z8" s="1" t="s">
        <v>209</v>
      </c>
      <c r="AA8" s="19">
        <f t="shared" ref="AA8:AI8" si="5">N7+N8+N11+N12+N13</f>
        <v>540725.6</v>
      </c>
      <c r="AB8" s="19">
        <f t="shared" si="5"/>
        <v>594249.19999999995</v>
      </c>
      <c r="AC8" s="19">
        <f t="shared" si="5"/>
        <v>603856</v>
      </c>
      <c r="AD8" s="19">
        <f t="shared" si="5"/>
        <v>687572.4</v>
      </c>
      <c r="AE8" s="19">
        <f t="shared" si="5"/>
        <v>713648</v>
      </c>
      <c r="AF8" s="19">
        <f t="shared" si="5"/>
        <v>715020.4</v>
      </c>
      <c r="AG8" s="19">
        <f t="shared" si="5"/>
        <v>757564.8</v>
      </c>
      <c r="AH8" s="19">
        <f t="shared" si="5"/>
        <v>871474</v>
      </c>
      <c r="AI8" s="19">
        <f t="shared" si="5"/>
        <v>855005.20000000007</v>
      </c>
      <c r="AL8" s="1" t="s">
        <v>209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1652.3</v>
      </c>
      <c r="AS8" s="21">
        <v>540.70000000000005</v>
      </c>
      <c r="AT8" s="21">
        <v>594.20000000000005</v>
      </c>
      <c r="AU8" s="21">
        <v>603.79999999999995</v>
      </c>
      <c r="AV8" s="21">
        <v>687.6</v>
      </c>
      <c r="AW8" s="21">
        <v>727.4</v>
      </c>
      <c r="AX8" s="21">
        <v>715</v>
      </c>
      <c r="AY8" s="21">
        <v>757.6</v>
      </c>
      <c r="AZ8" s="21">
        <v>871.5</v>
      </c>
      <c r="BA8" s="21">
        <v>855</v>
      </c>
      <c r="BB8" s="19">
        <v>936</v>
      </c>
      <c r="BC8" s="19">
        <v>1070.5</v>
      </c>
      <c r="BD8" s="19">
        <v>1045.8</v>
      </c>
      <c r="BE8" s="1">
        <v>1461.6</v>
      </c>
      <c r="BF8" s="19">
        <v>1607.1</v>
      </c>
      <c r="BG8" s="19">
        <f t="shared" si="2"/>
        <v>1880.3069999999998</v>
      </c>
      <c r="BH8" s="19">
        <v>17</v>
      </c>
      <c r="BI8">
        <f t="shared" si="3"/>
        <v>273.20699999999999</v>
      </c>
      <c r="BJ8" s="42">
        <f t="shared" si="4"/>
        <v>117</v>
      </c>
      <c r="BP8" s="73">
        <v>1</v>
      </c>
      <c r="BQ8" s="64" t="s">
        <v>277</v>
      </c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36">
        <v>1</v>
      </c>
      <c r="CO8" s="64" t="s">
        <v>277</v>
      </c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J8" s="1"/>
    </row>
    <row r="9" spans="1:114" x14ac:dyDescent="0.2">
      <c r="A9" s="21"/>
      <c r="B9" s="21" t="s">
        <v>38</v>
      </c>
      <c r="C9" s="21"/>
      <c r="D9" s="21">
        <v>0</v>
      </c>
      <c r="E9" s="21"/>
      <c r="F9" s="21"/>
      <c r="G9" s="21"/>
      <c r="H9" s="21"/>
      <c r="I9" s="21">
        <v>7.4</v>
      </c>
      <c r="J9" s="21">
        <v>9.1999999999999993</v>
      </c>
      <c r="K9" s="21">
        <v>2.1</v>
      </c>
      <c r="L9" s="21"/>
      <c r="M9" s="21">
        <v>9343.5</v>
      </c>
      <c r="N9" s="24">
        <f>D9*M9</f>
        <v>0</v>
      </c>
      <c r="O9" s="21">
        <f>E9*M9</f>
        <v>0</v>
      </c>
      <c r="P9" s="21">
        <f>F9*M9</f>
        <v>0</v>
      </c>
      <c r="Q9" s="21">
        <f>G9*M9</f>
        <v>0</v>
      </c>
      <c r="R9" s="21">
        <f>H9*M9</f>
        <v>0</v>
      </c>
      <c r="S9" s="21">
        <f>I9*M9</f>
        <v>69141.900000000009</v>
      </c>
      <c r="T9" s="21">
        <f>J9*M9</f>
        <v>85960.2</v>
      </c>
      <c r="U9" s="21">
        <f>K9*M9</f>
        <v>19621.350000000002</v>
      </c>
      <c r="V9" s="21">
        <f>L9*M9</f>
        <v>0</v>
      </c>
      <c r="Y9">
        <v>2</v>
      </c>
      <c r="Z9" s="1" t="s">
        <v>50</v>
      </c>
      <c r="AA9" s="19">
        <f t="shared" ref="AA9:AI9" si="6">N14+N59+N63+N107+N132</f>
        <v>288068.88</v>
      </c>
      <c r="AB9" s="19">
        <f t="shared" si="6"/>
        <v>387997.08</v>
      </c>
      <c r="AC9" s="19">
        <f t="shared" si="6"/>
        <v>401091.12000000005</v>
      </c>
      <c r="AD9" s="19">
        <f t="shared" si="6"/>
        <v>336310.07999999996</v>
      </c>
      <c r="AE9" s="19">
        <f t="shared" si="6"/>
        <v>275664</v>
      </c>
      <c r="AF9" s="19">
        <f t="shared" si="6"/>
        <v>277731.48</v>
      </c>
      <c r="AG9" s="19">
        <f t="shared" si="6"/>
        <v>277042.32</v>
      </c>
      <c r="AH9" s="19">
        <f t="shared" si="6"/>
        <v>281866.44</v>
      </c>
      <c r="AI9" s="19">
        <f t="shared" si="6"/>
        <v>353539.08</v>
      </c>
      <c r="AK9">
        <v>2</v>
      </c>
      <c r="AL9" s="1" t="s">
        <v>50</v>
      </c>
      <c r="AM9" s="1">
        <v>0</v>
      </c>
      <c r="AN9" s="1">
        <v>0</v>
      </c>
      <c r="AO9" s="1">
        <v>68.900000000000006</v>
      </c>
      <c r="AP9" s="1">
        <v>162.6</v>
      </c>
      <c r="AQ9" s="1">
        <v>525.79999999999995</v>
      </c>
      <c r="AR9" s="1">
        <v>1467.9</v>
      </c>
      <c r="AS9" s="21">
        <v>288.10000000000002</v>
      </c>
      <c r="AT9" s="21">
        <v>388</v>
      </c>
      <c r="AU9" s="21">
        <v>401</v>
      </c>
      <c r="AV9" s="21">
        <v>336.3</v>
      </c>
      <c r="AW9" s="21">
        <v>275.60000000000002</v>
      </c>
      <c r="AX9" s="21">
        <v>277.7</v>
      </c>
      <c r="AY9" s="21">
        <v>277.2</v>
      </c>
      <c r="AZ9" s="21">
        <v>281.8</v>
      </c>
      <c r="BA9" s="21">
        <v>353.5</v>
      </c>
      <c r="BB9" s="19">
        <v>372.1</v>
      </c>
      <c r="BC9" s="19">
        <v>381.8</v>
      </c>
      <c r="BD9" s="19">
        <v>598.20000000000005</v>
      </c>
      <c r="BE9" s="19">
        <v>346</v>
      </c>
      <c r="BF9" s="19">
        <v>481.7</v>
      </c>
      <c r="BG9" s="19">
        <f t="shared" si="2"/>
        <v>506.7484</v>
      </c>
      <c r="BH9" s="19">
        <v>5.2</v>
      </c>
      <c r="BI9">
        <f t="shared" si="3"/>
        <v>25.048400000000001</v>
      </c>
      <c r="BJ9" s="42">
        <f t="shared" si="4"/>
        <v>105.2</v>
      </c>
      <c r="BP9" s="73"/>
      <c r="BQ9" s="64" t="s">
        <v>278</v>
      </c>
      <c r="BR9" s="74">
        <f>SUM(BR12+BR10+BR11)</f>
        <v>0</v>
      </c>
      <c r="BS9" s="74">
        <f t="shared" ref="BS9:CI9" si="7">SUM(BS12+BS10+BS11)</f>
        <v>0</v>
      </c>
      <c r="BT9" s="74">
        <f t="shared" si="7"/>
        <v>83.7</v>
      </c>
      <c r="BU9" s="74">
        <f t="shared" si="7"/>
        <v>1023.6</v>
      </c>
      <c r="BV9" s="74">
        <f t="shared" si="7"/>
        <v>2549.1999999999998</v>
      </c>
      <c r="BW9" s="74">
        <f t="shared" si="7"/>
        <v>9496.4</v>
      </c>
      <c r="BX9" s="74">
        <f t="shared" si="7"/>
        <v>741.30000000000007</v>
      </c>
      <c r="BY9" s="74">
        <f t="shared" si="7"/>
        <v>810.40000000000009</v>
      </c>
      <c r="BZ9" s="74">
        <f t="shared" si="7"/>
        <v>857.3</v>
      </c>
      <c r="CA9" s="74">
        <f t="shared" si="7"/>
        <v>921.5</v>
      </c>
      <c r="CB9" s="74">
        <f t="shared" si="7"/>
        <v>912.7</v>
      </c>
      <c r="CC9" s="74">
        <f t="shared" si="7"/>
        <v>830.6</v>
      </c>
      <c r="CD9" s="74">
        <f t="shared" si="7"/>
        <v>876.5</v>
      </c>
      <c r="CE9" s="74">
        <f t="shared" si="7"/>
        <v>981.5</v>
      </c>
      <c r="CF9" s="74">
        <f t="shared" si="7"/>
        <v>945.5</v>
      </c>
      <c r="CG9" s="74">
        <f t="shared" si="7"/>
        <v>1010.9</v>
      </c>
      <c r="CH9" s="74">
        <f t="shared" si="7"/>
        <v>1145.3</v>
      </c>
      <c r="CI9" s="74">
        <f t="shared" si="7"/>
        <v>1124.3999999999999</v>
      </c>
      <c r="CJ9" s="74">
        <v>1553.5</v>
      </c>
      <c r="CK9" s="75">
        <v>1680.7</v>
      </c>
      <c r="CL9" s="75">
        <v>1877.1</v>
      </c>
      <c r="CM9" s="75">
        <v>2089.6</v>
      </c>
      <c r="CN9" s="36"/>
      <c r="CO9" s="64" t="s">
        <v>278</v>
      </c>
      <c r="CP9" s="7"/>
      <c r="CQ9" s="7"/>
      <c r="CR9" s="42">
        <f>BU9/BT9*100</f>
        <v>1222.9390681003586</v>
      </c>
      <c r="CS9" s="42">
        <f t="shared" ref="CQ9:CS24" si="8">BV9/BU9*100</f>
        <v>249.04259476357947</v>
      </c>
      <c r="CT9" s="42">
        <f t="shared" ref="CT9:CT32" si="9">BW9/BV9*100</f>
        <v>372.52471363565041</v>
      </c>
      <c r="CU9" s="42">
        <f t="shared" ref="CU9:CU32" si="10">BX9/BW9*100</f>
        <v>7.8061160018533347</v>
      </c>
      <c r="CV9" s="42">
        <f t="shared" ref="CV9:CV33" si="11">BY9/BX9*100</f>
        <v>109.32146229596655</v>
      </c>
      <c r="CW9" s="42">
        <f t="shared" ref="CW9:CW33" si="12">BZ9/BY9*100</f>
        <v>105.78726554787758</v>
      </c>
      <c r="CX9" s="42">
        <f t="shared" ref="CX9:CX33" si="13">CA9/BZ9*100</f>
        <v>107.48862708503441</v>
      </c>
      <c r="CY9" s="42">
        <f t="shared" ref="CY9:CY33" si="14">CB9/CA9*100</f>
        <v>99.045035268583831</v>
      </c>
      <c r="CZ9" s="42">
        <f t="shared" ref="CZ9:CZ33" si="15">CC9/CB9*100</f>
        <v>91.004711296154255</v>
      </c>
      <c r="DA9" s="42">
        <f t="shared" ref="DA9:DA33" si="16">CD9/CC9*100</f>
        <v>105.52612569227064</v>
      </c>
      <c r="DB9" s="42">
        <f t="shared" ref="DB9:DB33" si="17">CE9/CD9*100</f>
        <v>111.97946377638334</v>
      </c>
      <c r="DC9" s="42">
        <f t="shared" ref="DC9:DC33" si="18">CF9/CE9*100</f>
        <v>96.33214467651554</v>
      </c>
      <c r="DD9" s="42">
        <f t="shared" ref="DD9:DD33" si="19">CG9/CF9*100</f>
        <v>106.91697514542571</v>
      </c>
      <c r="DE9" s="7">
        <f t="shared" ref="DE9:DG33" si="20">CH9/CG9*100</f>
        <v>113.29508358888118</v>
      </c>
      <c r="DF9" s="42">
        <f t="shared" si="20"/>
        <v>98.175150615559232</v>
      </c>
      <c r="DG9" s="42">
        <f>CJ9/CI9*100</f>
        <v>138.16257559587336</v>
      </c>
      <c r="DH9" s="42">
        <f>CK9/CJ9*100</f>
        <v>108.18796266495012</v>
      </c>
      <c r="DI9" s="42">
        <f>CL9/CK9*100</f>
        <v>111.68560718748139</v>
      </c>
      <c r="DJ9" s="42">
        <f>CM9/CL9*100</f>
        <v>111.32065420062862</v>
      </c>
    </row>
    <row r="10" spans="1:114" x14ac:dyDescent="0.2">
      <c r="A10" s="25"/>
      <c r="B10" s="25" t="s">
        <v>95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Y10">
        <v>3</v>
      </c>
      <c r="Z10" s="1" t="s">
        <v>210</v>
      </c>
      <c r="AA10" s="19"/>
      <c r="AB10" s="19"/>
      <c r="AC10" s="19"/>
      <c r="AD10" s="19"/>
      <c r="AE10" s="19"/>
      <c r="AF10" s="19"/>
      <c r="AG10" s="19"/>
      <c r="AH10" s="19"/>
      <c r="AI10" s="19"/>
      <c r="AK10">
        <v>3</v>
      </c>
      <c r="AL10" s="1" t="s">
        <v>210</v>
      </c>
      <c r="AM10" s="1"/>
      <c r="AN10" s="1"/>
      <c r="AO10" s="1"/>
      <c r="AP10" s="1"/>
      <c r="AQ10" s="1"/>
      <c r="AR10" s="1"/>
      <c r="AS10" s="21"/>
      <c r="AT10" s="21"/>
      <c r="AU10" s="21"/>
      <c r="AV10" s="21"/>
      <c r="AW10" s="21"/>
      <c r="AX10" s="21"/>
      <c r="AY10" s="21"/>
      <c r="AZ10" s="21"/>
      <c r="BA10" s="21"/>
      <c r="BB10" s="19"/>
      <c r="BC10" s="19"/>
      <c r="BD10" s="19"/>
      <c r="BE10" s="1"/>
      <c r="BG10" s="19">
        <f t="shared" si="2"/>
        <v>0</v>
      </c>
      <c r="BI10">
        <f t="shared" si="3"/>
        <v>0</v>
      </c>
      <c r="BJ10" s="42" t="e">
        <f t="shared" si="4"/>
        <v>#DIV/0!</v>
      </c>
      <c r="BP10" s="76"/>
      <c r="BQ10" s="65" t="s">
        <v>279</v>
      </c>
      <c r="BR10" s="74"/>
      <c r="BS10" s="74"/>
      <c r="BT10" s="74">
        <v>83.7</v>
      </c>
      <c r="BU10" s="74">
        <v>1023.6</v>
      </c>
      <c r="BV10" s="74">
        <v>2549.1999999999998</v>
      </c>
      <c r="BW10" s="74">
        <v>7844.1</v>
      </c>
      <c r="BX10" s="74">
        <v>169.1</v>
      </c>
      <c r="BY10" s="74">
        <v>181.2</v>
      </c>
      <c r="BZ10" s="74">
        <v>194.5</v>
      </c>
      <c r="CA10" s="74">
        <v>171.8</v>
      </c>
      <c r="CB10" s="74">
        <v>126.4</v>
      </c>
      <c r="CC10" s="74">
        <v>49.8</v>
      </c>
      <c r="CD10" s="74">
        <v>57.9</v>
      </c>
      <c r="CE10" s="74">
        <v>46.2</v>
      </c>
      <c r="CF10" s="74">
        <v>18.7</v>
      </c>
      <c r="CG10" s="74">
        <v>0</v>
      </c>
      <c r="CH10" s="74">
        <v>0</v>
      </c>
      <c r="CI10" s="74">
        <v>0</v>
      </c>
      <c r="CJ10" s="74">
        <v>0</v>
      </c>
      <c r="CK10" s="75">
        <v>0</v>
      </c>
      <c r="CL10" s="75">
        <v>0</v>
      </c>
      <c r="CM10" s="75">
        <v>0</v>
      </c>
      <c r="CN10" s="36"/>
      <c r="CO10" s="65" t="s">
        <v>279</v>
      </c>
      <c r="CP10" s="7"/>
      <c r="CQ10" s="7"/>
      <c r="CR10" s="42">
        <f t="shared" si="8"/>
        <v>1222.9390681003586</v>
      </c>
      <c r="CS10" s="42">
        <f t="shared" si="8"/>
        <v>249.04259476357947</v>
      </c>
      <c r="CT10" s="42">
        <f t="shared" si="9"/>
        <v>307.7083006433391</v>
      </c>
      <c r="CU10" s="42">
        <f t="shared" si="10"/>
        <v>2.1557603804133039</v>
      </c>
      <c r="CV10" s="42">
        <f t="shared" si="11"/>
        <v>107.15552927261976</v>
      </c>
      <c r="CW10" s="42">
        <f t="shared" si="12"/>
        <v>107.33995584988962</v>
      </c>
      <c r="CX10" s="42">
        <f t="shared" si="13"/>
        <v>88.329048843187664</v>
      </c>
      <c r="CY10" s="42">
        <f t="shared" si="14"/>
        <v>73.573923166472639</v>
      </c>
      <c r="CZ10" s="42">
        <f t="shared" si="15"/>
        <v>39.398734177215182</v>
      </c>
      <c r="DA10" s="42">
        <f t="shared" si="16"/>
        <v>116.26506024096386</v>
      </c>
      <c r="DB10" s="42">
        <f t="shared" si="17"/>
        <v>79.792746113989637</v>
      </c>
      <c r="DC10" s="42">
        <f t="shared" si="18"/>
        <v>40.476190476190474</v>
      </c>
      <c r="DD10" s="42">
        <f t="shared" si="19"/>
        <v>0</v>
      </c>
      <c r="DE10" s="7"/>
      <c r="DF10" s="7"/>
      <c r="DG10" s="42"/>
      <c r="DH10" s="42"/>
      <c r="DJ10" s="42"/>
    </row>
    <row r="11" spans="1:114" x14ac:dyDescent="0.2">
      <c r="A11" s="21" t="s">
        <v>81</v>
      </c>
      <c r="B11" s="21" t="s">
        <v>60</v>
      </c>
      <c r="C11" s="21" t="s">
        <v>86</v>
      </c>
      <c r="D11" s="21">
        <v>4.0999999999999996</v>
      </c>
      <c r="E11" s="21">
        <v>2.6</v>
      </c>
      <c r="F11" s="21">
        <v>2</v>
      </c>
      <c r="G11" s="21">
        <v>2.4</v>
      </c>
      <c r="H11" s="21">
        <v>2.1</v>
      </c>
      <c r="I11" s="21">
        <v>2.4</v>
      </c>
      <c r="J11" s="21">
        <v>2.6</v>
      </c>
      <c r="K11" s="21">
        <v>2.8</v>
      </c>
      <c r="L11" s="21">
        <v>3.6</v>
      </c>
      <c r="M11" s="21">
        <v>13724</v>
      </c>
      <c r="N11" s="22">
        <f t="shared" ref="N11:N17" si="21">D11*M11</f>
        <v>56268.399999999994</v>
      </c>
      <c r="O11" s="23">
        <f t="shared" ref="O11:O17" si="22">E11*M11</f>
        <v>35682.400000000001</v>
      </c>
      <c r="P11" s="23">
        <f t="shared" ref="P11:P17" si="23">F11*M11</f>
        <v>27448</v>
      </c>
      <c r="Q11" s="23">
        <f>G11*M11</f>
        <v>32937.599999999999</v>
      </c>
      <c r="R11" s="23">
        <f t="shared" ref="R11:R17" si="24">H11*M11</f>
        <v>28820.400000000001</v>
      </c>
      <c r="S11" s="23">
        <f t="shared" ref="S11:S17" si="25">I11*M11</f>
        <v>32937.599999999999</v>
      </c>
      <c r="T11" s="23">
        <f t="shared" ref="T11:T17" si="26">J11*M11</f>
        <v>35682.400000000001</v>
      </c>
      <c r="U11" s="23">
        <f t="shared" ref="U11:U17" si="27">K11*M11</f>
        <v>38427.199999999997</v>
      </c>
      <c r="V11" s="23">
        <f t="shared" ref="V11:V17" si="28">L11*M11</f>
        <v>49406.400000000001</v>
      </c>
      <c r="Z11" s="1" t="s">
        <v>211</v>
      </c>
      <c r="AA11" s="19">
        <f t="shared" ref="AA11:AI11" si="29">N9+N90+N91+N92+N104+N162</f>
        <v>2987116.95</v>
      </c>
      <c r="AB11" s="19">
        <f t="shared" si="29"/>
        <v>2400345.1500000004</v>
      </c>
      <c r="AC11" s="19">
        <f t="shared" si="29"/>
        <v>668060.25</v>
      </c>
      <c r="AD11" s="19">
        <f t="shared" si="29"/>
        <v>977330.10000000009</v>
      </c>
      <c r="AE11" s="19">
        <f t="shared" si="29"/>
        <v>849324.15</v>
      </c>
      <c r="AF11" s="19">
        <f t="shared" si="29"/>
        <v>551266.5</v>
      </c>
      <c r="AG11" s="19">
        <f t="shared" si="29"/>
        <v>501745.95000000007</v>
      </c>
      <c r="AH11" s="19">
        <f t="shared" si="29"/>
        <v>487730.7</v>
      </c>
      <c r="AI11" s="19">
        <f t="shared" si="29"/>
        <v>280305</v>
      </c>
      <c r="AL11" s="1" t="s">
        <v>211</v>
      </c>
      <c r="AM11" s="1"/>
      <c r="AN11" s="1"/>
      <c r="AO11" s="1"/>
      <c r="AP11" s="1"/>
      <c r="AQ11" s="1"/>
      <c r="AR11" s="1"/>
      <c r="AS11" s="21">
        <v>2987.1</v>
      </c>
      <c r="AT11" s="21">
        <v>2400.3000000000002</v>
      </c>
      <c r="AU11" s="21">
        <v>668.1</v>
      </c>
      <c r="AV11" s="21">
        <v>977.3</v>
      </c>
      <c r="AW11" s="21">
        <v>849.3</v>
      </c>
      <c r="AX11" s="21">
        <v>551.20000000000005</v>
      </c>
      <c r="AY11" s="21">
        <v>415.8</v>
      </c>
      <c r="AZ11" s="21">
        <v>487.7</v>
      </c>
      <c r="BA11" s="21">
        <v>280.3</v>
      </c>
      <c r="BB11" s="19">
        <v>308.3</v>
      </c>
      <c r="BC11" s="19">
        <v>314.89999999999998</v>
      </c>
      <c r="BD11" s="19">
        <v>26.2</v>
      </c>
      <c r="BE11" s="19">
        <v>0</v>
      </c>
      <c r="BF11" s="19">
        <v>0</v>
      </c>
      <c r="BG11" s="19">
        <f t="shared" si="2"/>
        <v>0</v>
      </c>
      <c r="BI11">
        <f t="shared" si="3"/>
        <v>0</v>
      </c>
      <c r="BJ11" s="42" t="e">
        <f t="shared" si="4"/>
        <v>#DIV/0!</v>
      </c>
      <c r="BP11" s="76"/>
      <c r="BQ11" s="65" t="s">
        <v>260</v>
      </c>
      <c r="BR11" s="74"/>
      <c r="BS11" s="74"/>
      <c r="BT11" s="74"/>
      <c r="BU11" s="74"/>
      <c r="BV11" s="74"/>
      <c r="BW11" s="74">
        <v>1652.3</v>
      </c>
      <c r="BX11" s="74">
        <v>540.70000000000005</v>
      </c>
      <c r="BY11" s="74">
        <v>594.20000000000005</v>
      </c>
      <c r="BZ11" s="74">
        <v>603.79999999999995</v>
      </c>
      <c r="CA11" s="74">
        <v>687.6</v>
      </c>
      <c r="CB11" s="74">
        <v>727.4</v>
      </c>
      <c r="CC11" s="74">
        <v>715</v>
      </c>
      <c r="CD11" s="74">
        <v>757.6</v>
      </c>
      <c r="CE11" s="74">
        <v>871.5</v>
      </c>
      <c r="CF11" s="74">
        <v>855</v>
      </c>
      <c r="CG11" s="74">
        <v>936</v>
      </c>
      <c r="CH11" s="74">
        <v>1070.5</v>
      </c>
      <c r="CI11" s="74">
        <v>1045.8</v>
      </c>
      <c r="CJ11" s="74">
        <v>1461.6</v>
      </c>
      <c r="CK11" s="75">
        <v>1607.1</v>
      </c>
      <c r="CL11" s="75">
        <v>1880.3</v>
      </c>
      <c r="CM11" s="75">
        <v>1996.9</v>
      </c>
      <c r="CN11" s="36"/>
      <c r="CO11" s="65" t="s">
        <v>260</v>
      </c>
      <c r="CP11" s="7"/>
      <c r="CQ11" s="7"/>
      <c r="CR11" s="7"/>
      <c r="CS11" s="42"/>
      <c r="CT11" s="42"/>
      <c r="CU11" s="42">
        <f t="shared" si="10"/>
        <v>32.724081583247596</v>
      </c>
      <c r="CV11" s="42">
        <f t="shared" si="11"/>
        <v>109.89458109857593</v>
      </c>
      <c r="CW11" s="42">
        <f t="shared" si="12"/>
        <v>101.61561763715919</v>
      </c>
      <c r="CX11" s="42">
        <f t="shared" si="13"/>
        <v>113.8787678039086</v>
      </c>
      <c r="CY11" s="42">
        <f t="shared" si="14"/>
        <v>105.78824898196626</v>
      </c>
      <c r="CZ11" s="42">
        <f t="shared" si="15"/>
        <v>98.295298322793514</v>
      </c>
      <c r="DA11" s="42">
        <f t="shared" si="16"/>
        <v>105.95804195804197</v>
      </c>
      <c r="DB11" s="42">
        <f t="shared" si="17"/>
        <v>115.03431890179515</v>
      </c>
      <c r="DC11" s="42">
        <f t="shared" si="18"/>
        <v>98.106712564543884</v>
      </c>
      <c r="DD11" s="42">
        <f t="shared" si="19"/>
        <v>109.47368421052633</v>
      </c>
      <c r="DE11" s="42">
        <f t="shared" si="20"/>
        <v>114.36965811965811</v>
      </c>
      <c r="DF11" s="42">
        <f t="shared" si="20"/>
        <v>97.69266697804764</v>
      </c>
      <c r="DG11" s="42">
        <f>CJ11/CI11*100</f>
        <v>139.75903614457832</v>
      </c>
      <c r="DH11" s="42">
        <f t="shared" ref="DH11:DI33" si="30">CK11/CJ11*100</f>
        <v>109.95484400656814</v>
      </c>
      <c r="DI11" s="42">
        <f t="shared" si="30"/>
        <v>116.99956443282933</v>
      </c>
      <c r="DJ11" s="42">
        <f>CM11/CL11*100</f>
        <v>106.20113811625804</v>
      </c>
    </row>
    <row r="12" spans="1:114" x14ac:dyDescent="0.2">
      <c r="A12" s="21" t="s">
        <v>82</v>
      </c>
      <c r="B12" s="21" t="s">
        <v>60</v>
      </c>
      <c r="C12" s="21" t="s">
        <v>86</v>
      </c>
      <c r="D12" s="21">
        <v>3</v>
      </c>
      <c r="E12" s="21">
        <v>1.6</v>
      </c>
      <c r="F12" s="21"/>
      <c r="G12" s="21"/>
      <c r="H12" s="21"/>
      <c r="I12" s="21"/>
      <c r="J12" s="21"/>
      <c r="K12" s="21"/>
      <c r="L12" s="21"/>
      <c r="M12" s="21">
        <v>13724</v>
      </c>
      <c r="N12" s="22">
        <f t="shared" si="21"/>
        <v>41172</v>
      </c>
      <c r="O12" s="23">
        <f t="shared" si="22"/>
        <v>21958.400000000001</v>
      </c>
      <c r="P12" s="23">
        <f t="shared" si="23"/>
        <v>0</v>
      </c>
      <c r="Q12" s="23">
        <f>G12*M12</f>
        <v>0</v>
      </c>
      <c r="R12" s="23">
        <f>H12*M12</f>
        <v>0</v>
      </c>
      <c r="S12" s="23">
        <f t="shared" si="25"/>
        <v>0</v>
      </c>
      <c r="T12" s="23">
        <f t="shared" si="26"/>
        <v>0</v>
      </c>
      <c r="U12" s="23">
        <f t="shared" si="27"/>
        <v>0</v>
      </c>
      <c r="V12" s="23">
        <f t="shared" si="28"/>
        <v>0</v>
      </c>
      <c r="Y12">
        <v>4</v>
      </c>
      <c r="Z12" s="1" t="s">
        <v>224</v>
      </c>
      <c r="AA12" s="19"/>
      <c r="AB12" s="19"/>
      <c r="AC12" s="19"/>
      <c r="AD12" s="19"/>
      <c r="AE12" s="19"/>
      <c r="AF12" s="19"/>
      <c r="AG12" s="19"/>
      <c r="AH12" s="19"/>
      <c r="AI12" s="19"/>
      <c r="AK12">
        <v>4</v>
      </c>
      <c r="AL12" s="1" t="s">
        <v>224</v>
      </c>
      <c r="AM12" s="1"/>
      <c r="AN12" s="1"/>
      <c r="AO12" s="1"/>
      <c r="AP12" s="1"/>
      <c r="AQ12" s="1"/>
      <c r="AR12" s="1"/>
      <c r="AS12" s="21"/>
      <c r="AT12" s="21"/>
      <c r="AU12" s="21"/>
      <c r="AV12" s="21"/>
      <c r="AW12" s="21"/>
      <c r="AX12" s="21"/>
      <c r="AY12" s="21"/>
      <c r="AZ12" s="21"/>
      <c r="BA12" s="21"/>
      <c r="BB12" s="19"/>
      <c r="BC12" s="19"/>
      <c r="BD12" s="19"/>
      <c r="BE12" s="1"/>
      <c r="BG12" s="19">
        <f t="shared" si="2"/>
        <v>0</v>
      </c>
      <c r="BI12">
        <f t="shared" si="3"/>
        <v>0</v>
      </c>
      <c r="BJ12" s="42" t="e">
        <f t="shared" si="4"/>
        <v>#DIV/0!</v>
      </c>
      <c r="BP12" s="76"/>
      <c r="BQ12" s="65" t="s">
        <v>264</v>
      </c>
      <c r="BR12" s="74"/>
      <c r="BS12" s="74"/>
      <c r="BT12" s="74"/>
      <c r="BU12" s="74"/>
      <c r="BV12" s="74"/>
      <c r="BW12" s="74"/>
      <c r="BX12" s="74">
        <v>31.5</v>
      </c>
      <c r="BY12" s="74">
        <v>35</v>
      </c>
      <c r="BZ12" s="74">
        <v>59</v>
      </c>
      <c r="CA12" s="74">
        <v>62.1</v>
      </c>
      <c r="CB12" s="74">
        <v>58.9</v>
      </c>
      <c r="CC12" s="74">
        <v>65.8</v>
      </c>
      <c r="CD12" s="74">
        <v>61</v>
      </c>
      <c r="CE12" s="74">
        <v>63.8</v>
      </c>
      <c r="CF12" s="74">
        <v>71.8</v>
      </c>
      <c r="CG12" s="74">
        <v>74.900000000000006</v>
      </c>
      <c r="CH12" s="74">
        <v>74.8</v>
      </c>
      <c r="CI12" s="74">
        <v>78.599999999999994</v>
      </c>
      <c r="CJ12" s="74">
        <v>91.9</v>
      </c>
      <c r="CK12" s="75">
        <v>73.599999999999994</v>
      </c>
      <c r="CL12" s="75">
        <v>83.2</v>
      </c>
      <c r="CM12" s="75">
        <v>92.7</v>
      </c>
      <c r="CN12" s="36"/>
      <c r="CO12" s="65" t="s">
        <v>264</v>
      </c>
      <c r="CP12" s="7"/>
      <c r="CQ12" s="7"/>
      <c r="CR12" s="7"/>
      <c r="CS12" s="42"/>
      <c r="CT12" s="42"/>
      <c r="CU12" s="42"/>
      <c r="CV12" s="42">
        <f t="shared" si="11"/>
        <v>111.11111111111111</v>
      </c>
      <c r="CW12" s="42">
        <f t="shared" si="12"/>
        <v>168.57142857142858</v>
      </c>
      <c r="CX12" s="42">
        <f t="shared" si="13"/>
        <v>105.25423728813558</v>
      </c>
      <c r="CY12" s="42">
        <f t="shared" si="14"/>
        <v>94.847020933977461</v>
      </c>
      <c r="CZ12" s="42">
        <f t="shared" si="15"/>
        <v>111.71477079796264</v>
      </c>
      <c r="DA12" s="42">
        <f t="shared" si="16"/>
        <v>92.705167173252278</v>
      </c>
      <c r="DB12" s="42">
        <f t="shared" si="17"/>
        <v>104.59016393442622</v>
      </c>
      <c r="DC12" s="42">
        <f t="shared" si="18"/>
        <v>112.53918495297806</v>
      </c>
      <c r="DD12" s="42">
        <f t="shared" si="19"/>
        <v>104.31754874651811</v>
      </c>
      <c r="DE12" s="42">
        <f t="shared" si="20"/>
        <v>99.866488651535363</v>
      </c>
      <c r="DF12" s="42">
        <f t="shared" si="20"/>
        <v>105.08021390374331</v>
      </c>
      <c r="DG12" s="42">
        <f t="shared" si="20"/>
        <v>116.92111959287534</v>
      </c>
      <c r="DH12" s="42">
        <f t="shared" si="30"/>
        <v>80.087051142546244</v>
      </c>
      <c r="DI12" s="42">
        <f t="shared" si="30"/>
        <v>113.04347826086958</v>
      </c>
      <c r="DJ12" s="42">
        <f>CM12/CL12*100</f>
        <v>111.41826923076923</v>
      </c>
    </row>
    <row r="13" spans="1:114" x14ac:dyDescent="0.2">
      <c r="A13" s="21" t="s">
        <v>83</v>
      </c>
      <c r="B13" s="21" t="s">
        <v>60</v>
      </c>
      <c r="C13" s="21" t="s">
        <v>86</v>
      </c>
      <c r="D13" s="21">
        <v>0</v>
      </c>
      <c r="E13" s="21">
        <v>1.9</v>
      </c>
      <c r="F13" s="21">
        <v>2</v>
      </c>
      <c r="G13" s="21">
        <v>3.1</v>
      </c>
      <c r="H13" s="21">
        <v>4.5</v>
      </c>
      <c r="I13" s="21">
        <v>3.5</v>
      </c>
      <c r="J13" s="21">
        <v>3.5</v>
      </c>
      <c r="K13" s="21">
        <v>4</v>
      </c>
      <c r="L13" s="21">
        <v>4.5</v>
      </c>
      <c r="M13" s="21">
        <v>13724</v>
      </c>
      <c r="N13" s="22">
        <f t="shared" si="21"/>
        <v>0</v>
      </c>
      <c r="O13" s="23">
        <f t="shared" si="22"/>
        <v>26075.599999999999</v>
      </c>
      <c r="P13" s="23">
        <f t="shared" si="23"/>
        <v>27448</v>
      </c>
      <c r="Q13" s="23">
        <f>G13*M13</f>
        <v>42544.4</v>
      </c>
      <c r="R13" s="23">
        <f t="shared" si="24"/>
        <v>61758</v>
      </c>
      <c r="S13" s="23">
        <f t="shared" si="25"/>
        <v>48034</v>
      </c>
      <c r="T13" s="23">
        <f t="shared" si="26"/>
        <v>48034</v>
      </c>
      <c r="U13" s="23">
        <f t="shared" si="27"/>
        <v>54896</v>
      </c>
      <c r="V13" s="23">
        <f t="shared" si="28"/>
        <v>61758</v>
      </c>
      <c r="Z13" s="1" t="s">
        <v>225</v>
      </c>
      <c r="AA13" s="19">
        <f>N60++N61+N74+N85+N102+N103+N130+N183+N195+N202+N82</f>
        <v>9.6</v>
      </c>
      <c r="AB13" s="19">
        <f t="shared" ref="AB13:AI13" si="31">O60++O61+O74+O85+O102+O103+O130+O183+O195+O202</f>
        <v>12760</v>
      </c>
      <c r="AC13" s="19">
        <f t="shared" si="31"/>
        <v>2520</v>
      </c>
      <c r="AD13" s="19">
        <f t="shared" si="31"/>
        <v>15800</v>
      </c>
      <c r="AE13" s="19">
        <f t="shared" si="31"/>
        <v>12800</v>
      </c>
      <c r="AF13" s="19">
        <f t="shared" si="31"/>
        <v>21200</v>
      </c>
      <c r="AG13" s="19">
        <f t="shared" si="31"/>
        <v>54270.75</v>
      </c>
      <c r="AH13" s="19">
        <f t="shared" si="31"/>
        <v>86965.4</v>
      </c>
      <c r="AI13" s="19">
        <f t="shared" si="31"/>
        <v>170127</v>
      </c>
      <c r="AL13" s="1" t="s">
        <v>225</v>
      </c>
      <c r="AM13" s="1">
        <v>0.7</v>
      </c>
      <c r="AN13" s="1">
        <v>0.1</v>
      </c>
      <c r="AO13" s="1">
        <v>6.4</v>
      </c>
      <c r="AP13" s="1">
        <v>0.1</v>
      </c>
      <c r="AQ13" s="1">
        <v>437.8</v>
      </c>
      <c r="AR13" s="1">
        <v>754.4</v>
      </c>
      <c r="AS13" s="21"/>
      <c r="AT13" s="21">
        <v>12.7</v>
      </c>
      <c r="AU13" s="21">
        <v>2.5</v>
      </c>
      <c r="AV13" s="21">
        <v>15.8</v>
      </c>
      <c r="AW13" s="21">
        <v>12.8</v>
      </c>
      <c r="AX13" s="21">
        <v>21.2</v>
      </c>
      <c r="AY13" s="21">
        <v>54.3</v>
      </c>
      <c r="AZ13" s="21">
        <v>86.9</v>
      </c>
      <c r="BA13" s="21">
        <v>170.1</v>
      </c>
      <c r="BB13" s="19">
        <v>100.9</v>
      </c>
      <c r="BC13" s="19">
        <v>282.5</v>
      </c>
      <c r="BD13" s="19">
        <v>341.4</v>
      </c>
      <c r="BE13" s="1">
        <v>404.3</v>
      </c>
      <c r="BF13" s="19">
        <v>506.3</v>
      </c>
      <c r="BG13" s="19">
        <f t="shared" si="2"/>
        <v>831.85090000000002</v>
      </c>
      <c r="BH13" s="19">
        <v>64.3</v>
      </c>
      <c r="BI13">
        <f t="shared" si="3"/>
        <v>325.55090000000001</v>
      </c>
      <c r="BJ13" s="42">
        <f t="shared" si="4"/>
        <v>164.3</v>
      </c>
      <c r="BP13" s="73">
        <v>2</v>
      </c>
      <c r="BQ13" s="64" t="s">
        <v>267</v>
      </c>
      <c r="BR13" s="74">
        <f>SUM(BR14:BR15)</f>
        <v>0</v>
      </c>
      <c r="BS13" s="74">
        <f t="shared" ref="BS13:CI13" si="32">SUM(BS14:BS15)</f>
        <v>0</v>
      </c>
      <c r="BT13" s="74">
        <f t="shared" si="32"/>
        <v>68.900000000000006</v>
      </c>
      <c r="BU13" s="74">
        <f t="shared" si="32"/>
        <v>162.6</v>
      </c>
      <c r="BV13" s="74">
        <f t="shared" si="32"/>
        <v>525.79999999999995</v>
      </c>
      <c r="BW13" s="74">
        <f t="shared" si="32"/>
        <v>1467.9</v>
      </c>
      <c r="BX13" s="74">
        <f t="shared" si="32"/>
        <v>3275.2</v>
      </c>
      <c r="BY13" s="74">
        <f t="shared" si="32"/>
        <v>2788.3</v>
      </c>
      <c r="BZ13" s="74">
        <f t="shared" si="32"/>
        <v>1069.0999999999999</v>
      </c>
      <c r="CA13" s="74">
        <f t="shared" si="32"/>
        <v>1313.6</v>
      </c>
      <c r="CB13" s="74">
        <f t="shared" si="32"/>
        <v>1124.9000000000001</v>
      </c>
      <c r="CC13" s="74">
        <f t="shared" si="32"/>
        <v>828.90000000000009</v>
      </c>
      <c r="CD13" s="74">
        <f t="shared" si="32"/>
        <v>692.8</v>
      </c>
      <c r="CE13" s="74">
        <f t="shared" si="32"/>
        <v>769.59999999999991</v>
      </c>
      <c r="CF13" s="74">
        <f t="shared" si="32"/>
        <v>633.79999999999995</v>
      </c>
      <c r="CG13" s="74">
        <f t="shared" si="32"/>
        <v>680.40000000000009</v>
      </c>
      <c r="CH13" s="74">
        <f t="shared" si="32"/>
        <v>696.7</v>
      </c>
      <c r="CI13" s="74">
        <f t="shared" si="32"/>
        <v>624.40000000000009</v>
      </c>
      <c r="CJ13" s="74">
        <v>346</v>
      </c>
      <c r="CK13" s="75">
        <v>481.7</v>
      </c>
      <c r="CL13" s="75">
        <v>506.7</v>
      </c>
      <c r="CM13" s="75">
        <v>628.5</v>
      </c>
      <c r="CN13" s="36">
        <v>2</v>
      </c>
      <c r="CO13" s="64" t="s">
        <v>267</v>
      </c>
      <c r="CP13" s="7"/>
      <c r="CQ13" s="7"/>
      <c r="CR13" s="42">
        <f t="shared" si="8"/>
        <v>235.9941944847605</v>
      </c>
      <c r="CS13" s="42">
        <f t="shared" si="8"/>
        <v>323.37023370233703</v>
      </c>
      <c r="CT13" s="42">
        <f t="shared" si="9"/>
        <v>279.17459109927734</v>
      </c>
      <c r="CU13" s="42">
        <f t="shared" si="10"/>
        <v>223.12146603992096</v>
      </c>
      <c r="CV13" s="42">
        <f t="shared" si="11"/>
        <v>85.133732291157798</v>
      </c>
      <c r="CW13" s="42">
        <f t="shared" si="12"/>
        <v>38.342359143564174</v>
      </c>
      <c r="CX13" s="42">
        <f t="shared" si="13"/>
        <v>122.8697034889159</v>
      </c>
      <c r="CY13" s="42">
        <f t="shared" si="14"/>
        <v>85.634896467722299</v>
      </c>
      <c r="CZ13" s="42">
        <f t="shared" si="15"/>
        <v>73.686549915548056</v>
      </c>
      <c r="DA13" s="42">
        <f t="shared" si="16"/>
        <v>83.580649052961746</v>
      </c>
      <c r="DB13" s="42">
        <f t="shared" si="17"/>
        <v>111.08545034642032</v>
      </c>
      <c r="DC13" s="42">
        <f t="shared" si="18"/>
        <v>82.354469854469855</v>
      </c>
      <c r="DD13" s="42">
        <f t="shared" si="19"/>
        <v>107.35247712212058</v>
      </c>
      <c r="DE13" s="42">
        <f t="shared" si="20"/>
        <v>102.39564961787184</v>
      </c>
      <c r="DF13" s="42">
        <f t="shared" si="20"/>
        <v>89.622506100186598</v>
      </c>
      <c r="DG13" s="42">
        <f t="shared" si="20"/>
        <v>55.413196668802044</v>
      </c>
      <c r="DH13" s="42">
        <f t="shared" si="30"/>
        <v>139.21965317919074</v>
      </c>
      <c r="DI13" s="42">
        <f t="shared" si="30"/>
        <v>105.18995225243928</v>
      </c>
      <c r="DJ13" s="42">
        <f>CM13/CL13*100</f>
        <v>124.03789224393131</v>
      </c>
    </row>
    <row r="14" spans="1:114" x14ac:dyDescent="0.2">
      <c r="A14" s="21" t="s">
        <v>84</v>
      </c>
      <c r="B14" s="21" t="s">
        <v>21</v>
      </c>
      <c r="C14" s="21" t="s">
        <v>9</v>
      </c>
      <c r="D14" s="21">
        <v>28.2</v>
      </c>
      <c r="E14" s="21">
        <v>41.5</v>
      </c>
      <c r="F14" s="21">
        <v>36</v>
      </c>
      <c r="G14" s="21">
        <v>35</v>
      </c>
      <c r="H14" s="21">
        <v>35</v>
      </c>
      <c r="I14" s="21">
        <v>36</v>
      </c>
      <c r="J14" s="21">
        <v>36</v>
      </c>
      <c r="K14" s="21">
        <v>38</v>
      </c>
      <c r="L14" s="21">
        <v>48.4</v>
      </c>
      <c r="M14" s="21">
        <v>6891.6</v>
      </c>
      <c r="N14" s="22">
        <f t="shared" si="21"/>
        <v>194343.12</v>
      </c>
      <c r="O14" s="23">
        <f t="shared" si="22"/>
        <v>286001.40000000002</v>
      </c>
      <c r="P14" s="23">
        <f t="shared" si="23"/>
        <v>248097.6</v>
      </c>
      <c r="Q14" s="23">
        <f>G14*M14</f>
        <v>241206</v>
      </c>
      <c r="R14" s="23">
        <f t="shared" si="24"/>
        <v>241206</v>
      </c>
      <c r="S14" s="23">
        <f t="shared" si="25"/>
        <v>248097.6</v>
      </c>
      <c r="T14" s="23">
        <f t="shared" si="26"/>
        <v>248097.6</v>
      </c>
      <c r="U14" s="23">
        <f t="shared" si="27"/>
        <v>261880.80000000002</v>
      </c>
      <c r="V14" s="23">
        <f t="shared" si="28"/>
        <v>333553.44</v>
      </c>
      <c r="Y14">
        <v>5</v>
      </c>
      <c r="Z14" s="1" t="s">
        <v>212</v>
      </c>
      <c r="AA14" s="19"/>
      <c r="AB14" s="19"/>
      <c r="AC14" s="19"/>
      <c r="AD14" s="19"/>
      <c r="AE14" s="19"/>
      <c r="AF14" s="19"/>
      <c r="AG14" s="19"/>
      <c r="AH14" s="19"/>
      <c r="AI14" s="19"/>
      <c r="AK14">
        <v>5</v>
      </c>
      <c r="AL14" s="1" t="s">
        <v>212</v>
      </c>
      <c r="AM14" s="1"/>
      <c r="AN14" s="1"/>
      <c r="AO14" s="1"/>
      <c r="AP14" s="1"/>
      <c r="AQ14" s="1"/>
      <c r="AR14" s="1"/>
      <c r="AS14" s="21"/>
      <c r="AT14" s="21"/>
      <c r="AU14" s="21"/>
      <c r="AV14" s="21"/>
      <c r="AW14" s="21"/>
      <c r="AX14" s="21"/>
      <c r="AY14" s="21"/>
      <c r="AZ14" s="21"/>
      <c r="BA14" s="21"/>
      <c r="BB14" s="19"/>
      <c r="BC14" s="19"/>
      <c r="BD14" s="19"/>
      <c r="BE14" s="1"/>
      <c r="BG14" s="19">
        <f t="shared" si="2"/>
        <v>0</v>
      </c>
      <c r="BI14">
        <f t="shared" si="3"/>
        <v>0</v>
      </c>
      <c r="BJ14" s="42" t="e">
        <f t="shared" si="4"/>
        <v>#DIV/0!</v>
      </c>
      <c r="BP14" s="76"/>
      <c r="BQ14" s="65" t="s">
        <v>280</v>
      </c>
      <c r="BR14" s="74"/>
      <c r="BS14" s="74"/>
      <c r="BT14" s="74">
        <v>68.900000000000006</v>
      </c>
      <c r="BU14" s="74">
        <v>162.6</v>
      </c>
      <c r="BV14" s="74">
        <v>525.79999999999995</v>
      </c>
      <c r="BW14" s="74">
        <v>1467.9</v>
      </c>
      <c r="BX14" s="74">
        <v>288.10000000000002</v>
      </c>
      <c r="BY14" s="74">
        <v>388</v>
      </c>
      <c r="BZ14" s="74">
        <v>401</v>
      </c>
      <c r="CA14" s="74">
        <v>336.3</v>
      </c>
      <c r="CB14" s="74">
        <v>275.60000000000002</v>
      </c>
      <c r="CC14" s="74">
        <v>277.7</v>
      </c>
      <c r="CD14" s="74">
        <v>277</v>
      </c>
      <c r="CE14" s="74">
        <v>281.89999999999998</v>
      </c>
      <c r="CF14" s="74">
        <v>353.5</v>
      </c>
      <c r="CG14" s="74">
        <v>372.1</v>
      </c>
      <c r="CH14" s="74">
        <v>381.8</v>
      </c>
      <c r="CI14" s="74">
        <v>598.20000000000005</v>
      </c>
      <c r="CJ14" s="74">
        <v>346</v>
      </c>
      <c r="CK14" s="75">
        <v>481.7</v>
      </c>
      <c r="CL14" s="75">
        <v>506.7</v>
      </c>
      <c r="CM14" s="75">
        <v>628.5</v>
      </c>
      <c r="CN14" s="36"/>
      <c r="CO14" s="65" t="s">
        <v>280</v>
      </c>
      <c r="CP14" s="7"/>
      <c r="CQ14" s="7"/>
      <c r="CR14" s="42">
        <f t="shared" si="8"/>
        <v>235.9941944847605</v>
      </c>
      <c r="CS14" s="42">
        <f t="shared" si="8"/>
        <v>323.37023370233703</v>
      </c>
      <c r="CT14" s="42">
        <f t="shared" si="9"/>
        <v>279.17459109927734</v>
      </c>
      <c r="CU14" s="42">
        <f t="shared" si="10"/>
        <v>19.626677566591731</v>
      </c>
      <c r="CV14" s="42">
        <f t="shared" si="11"/>
        <v>134.67545990975353</v>
      </c>
      <c r="CW14" s="42">
        <f t="shared" si="12"/>
        <v>103.35051546391753</v>
      </c>
      <c r="CX14" s="42">
        <f t="shared" si="13"/>
        <v>83.865336658354124</v>
      </c>
      <c r="CY14" s="42">
        <f t="shared" si="14"/>
        <v>81.950639310139763</v>
      </c>
      <c r="CZ14" s="42">
        <f t="shared" si="15"/>
        <v>100.76197387518143</v>
      </c>
      <c r="DA14" s="42">
        <f t="shared" si="16"/>
        <v>99.747929420237668</v>
      </c>
      <c r="DB14" s="42">
        <f t="shared" si="17"/>
        <v>101.76895306859204</v>
      </c>
      <c r="DC14" s="42">
        <f t="shared" si="18"/>
        <v>125.39907768712311</v>
      </c>
      <c r="DD14" s="42">
        <f t="shared" si="19"/>
        <v>105.26166902404528</v>
      </c>
      <c r="DE14" s="42">
        <f t="shared" si="20"/>
        <v>102.60682612201022</v>
      </c>
      <c r="DF14" s="42">
        <f t="shared" si="20"/>
        <v>156.67888947092717</v>
      </c>
      <c r="DG14" s="42">
        <f t="shared" si="20"/>
        <v>57.840187228351716</v>
      </c>
      <c r="DH14" s="42">
        <f t="shared" si="30"/>
        <v>139.21965317919074</v>
      </c>
      <c r="DI14" s="42">
        <f t="shared" si="30"/>
        <v>105.18995225243928</v>
      </c>
      <c r="DJ14" s="42">
        <f>CM14/CL14*100</f>
        <v>124.03789224393131</v>
      </c>
    </row>
    <row r="15" spans="1:114" x14ac:dyDescent="0.2">
      <c r="A15" s="21" t="s">
        <v>87</v>
      </c>
      <c r="B15" s="21" t="s">
        <v>17</v>
      </c>
      <c r="C15" s="21" t="s">
        <v>9</v>
      </c>
      <c r="D15" s="21">
        <v>0</v>
      </c>
      <c r="E15" s="21">
        <v>55.5</v>
      </c>
      <c r="F15" s="21">
        <v>195</v>
      </c>
      <c r="G15" s="21"/>
      <c r="H15" s="21"/>
      <c r="I15" s="21">
        <v>25.3</v>
      </c>
      <c r="J15" s="21">
        <v>75</v>
      </c>
      <c r="K15" s="21">
        <v>119.4</v>
      </c>
      <c r="L15" s="21">
        <v>300</v>
      </c>
      <c r="M15" s="21">
        <v>220</v>
      </c>
      <c r="N15" s="24">
        <f t="shared" si="21"/>
        <v>0</v>
      </c>
      <c r="O15" s="21">
        <f t="shared" si="22"/>
        <v>12210</v>
      </c>
      <c r="P15" s="21">
        <f t="shared" si="23"/>
        <v>42900</v>
      </c>
      <c r="Q15" s="23">
        <f t="shared" ref="Q15:Q78" si="33">G15*M15</f>
        <v>0</v>
      </c>
      <c r="R15" s="21">
        <f t="shared" si="24"/>
        <v>0</v>
      </c>
      <c r="S15" s="21">
        <f t="shared" si="25"/>
        <v>5566</v>
      </c>
      <c r="T15" s="21">
        <f t="shared" si="26"/>
        <v>16500</v>
      </c>
      <c r="U15" s="21">
        <f t="shared" si="27"/>
        <v>26268</v>
      </c>
      <c r="V15" s="21">
        <f t="shared" si="28"/>
        <v>66000</v>
      </c>
      <c r="Z15" s="1" t="s">
        <v>213</v>
      </c>
      <c r="AA15" s="19">
        <f>SUM(AA16:AA20)</f>
        <v>400189.43000000005</v>
      </c>
      <c r="AB15" s="19">
        <f t="shared" ref="AB15:AI15" si="34">SUM(AB16:AB20)</f>
        <v>722699.67999999993</v>
      </c>
      <c r="AC15" s="19">
        <f t="shared" si="34"/>
        <v>815947.86</v>
      </c>
      <c r="AD15" s="19">
        <f t="shared" si="34"/>
        <v>687376.21000000008</v>
      </c>
      <c r="AE15" s="19">
        <f t="shared" si="34"/>
        <v>900529.57999999984</v>
      </c>
      <c r="AF15" s="19">
        <f t="shared" si="34"/>
        <v>736870.88</v>
      </c>
      <c r="AG15" s="19">
        <f t="shared" si="34"/>
        <v>1598163.0799999998</v>
      </c>
      <c r="AH15" s="19">
        <f t="shared" si="34"/>
        <v>2106962.5200000005</v>
      </c>
      <c r="AI15" s="19">
        <f t="shared" si="34"/>
        <v>2676092.69</v>
      </c>
      <c r="AL15" s="1" t="s">
        <v>213</v>
      </c>
      <c r="AM15" s="1">
        <v>80.599999999999994</v>
      </c>
      <c r="AN15" s="1">
        <v>402.3</v>
      </c>
      <c r="AO15" s="1">
        <v>1251.5</v>
      </c>
      <c r="AP15" s="1">
        <v>1342.3</v>
      </c>
      <c r="AQ15" s="1">
        <v>2960</v>
      </c>
      <c r="AR15" s="1">
        <v>4925.3</v>
      </c>
      <c r="AS15" s="21">
        <v>400.2</v>
      </c>
      <c r="AT15" s="21">
        <v>722.6</v>
      </c>
      <c r="AU15" s="21">
        <v>815.9</v>
      </c>
      <c r="AV15" s="21">
        <v>687.4</v>
      </c>
      <c r="AW15" s="21">
        <v>885.3</v>
      </c>
      <c r="AX15" s="21">
        <v>703.5</v>
      </c>
      <c r="AY15" s="21">
        <v>1569.6</v>
      </c>
      <c r="AZ15" s="21">
        <v>2100</v>
      </c>
      <c r="BA15" s="21">
        <v>2257.3000000000002</v>
      </c>
      <c r="BB15" s="19">
        <v>3017.1</v>
      </c>
      <c r="BC15" s="19">
        <v>3333.1</v>
      </c>
      <c r="BD15" s="19">
        <v>3688.5</v>
      </c>
      <c r="BE15" s="1">
        <v>1427.6</v>
      </c>
      <c r="BF15" s="19">
        <v>1162.2</v>
      </c>
      <c r="BG15" s="19">
        <f t="shared" si="2"/>
        <v>1263.3114</v>
      </c>
      <c r="BH15" s="19">
        <v>8.6999999999999993</v>
      </c>
      <c r="BI15">
        <f t="shared" si="3"/>
        <v>101.11139999999999</v>
      </c>
      <c r="BJ15" s="42">
        <f t="shared" si="4"/>
        <v>108.7</v>
      </c>
      <c r="BP15" s="76"/>
      <c r="BQ15" s="65" t="s">
        <v>281</v>
      </c>
      <c r="BR15" s="74"/>
      <c r="BS15" s="74"/>
      <c r="BT15" s="74"/>
      <c r="BU15" s="74"/>
      <c r="BV15" s="74"/>
      <c r="BW15" s="74"/>
      <c r="BX15" s="74">
        <v>2987.1</v>
      </c>
      <c r="BY15" s="74">
        <v>2400.3000000000002</v>
      </c>
      <c r="BZ15" s="74">
        <v>668.1</v>
      </c>
      <c r="CA15" s="74">
        <v>977.3</v>
      </c>
      <c r="CB15" s="74">
        <v>849.3</v>
      </c>
      <c r="CC15" s="74">
        <v>551.20000000000005</v>
      </c>
      <c r="CD15" s="74">
        <v>415.8</v>
      </c>
      <c r="CE15" s="74">
        <v>487.7</v>
      </c>
      <c r="CF15" s="74">
        <v>280.3</v>
      </c>
      <c r="CG15" s="74">
        <v>308.3</v>
      </c>
      <c r="CH15" s="74">
        <v>314.89999999999998</v>
      </c>
      <c r="CI15" s="74">
        <v>26.2</v>
      </c>
      <c r="CJ15" s="74">
        <v>0</v>
      </c>
      <c r="CK15" s="75">
        <v>0</v>
      </c>
      <c r="CL15" s="75">
        <v>0</v>
      </c>
      <c r="CM15" s="75">
        <v>0</v>
      </c>
      <c r="CN15" s="36"/>
      <c r="CO15" s="65" t="s">
        <v>281</v>
      </c>
      <c r="CP15" s="7"/>
      <c r="CQ15" s="7"/>
      <c r="CR15" s="42"/>
      <c r="CS15" s="42"/>
      <c r="CT15" s="42"/>
      <c r="CU15" s="42"/>
      <c r="CV15" s="42">
        <f t="shared" si="11"/>
        <v>80.355528773727031</v>
      </c>
      <c r="CW15" s="42">
        <f t="shared" si="12"/>
        <v>27.834020747406573</v>
      </c>
      <c r="CX15" s="42">
        <f t="shared" si="13"/>
        <v>146.28049693159707</v>
      </c>
      <c r="CY15" s="42">
        <f t="shared" si="14"/>
        <v>86.90269108769057</v>
      </c>
      <c r="CZ15" s="42">
        <f t="shared" si="15"/>
        <v>64.90050629930532</v>
      </c>
      <c r="DA15" s="42">
        <f t="shared" si="16"/>
        <v>75.43541364296081</v>
      </c>
      <c r="DB15" s="42">
        <f t="shared" si="17"/>
        <v>117.2919672919673</v>
      </c>
      <c r="DC15" s="42">
        <f t="shared" si="18"/>
        <v>57.473856879229032</v>
      </c>
      <c r="DD15" s="42">
        <f t="shared" si="19"/>
        <v>109.98929718159116</v>
      </c>
      <c r="DE15" s="42">
        <f t="shared" si="20"/>
        <v>102.14077197534867</v>
      </c>
      <c r="DF15" s="42">
        <f t="shared" si="20"/>
        <v>8.3201016195617665</v>
      </c>
      <c r="DG15" s="42">
        <f t="shared" si="20"/>
        <v>0</v>
      </c>
      <c r="DH15" s="42"/>
      <c r="DJ15" s="42"/>
    </row>
    <row r="16" spans="1:114" x14ac:dyDescent="0.2">
      <c r="A16" s="21"/>
      <c r="B16" s="21" t="s">
        <v>18</v>
      </c>
      <c r="C16" s="21" t="s">
        <v>9</v>
      </c>
      <c r="D16" s="21">
        <v>0</v>
      </c>
      <c r="E16" s="21">
        <v>36</v>
      </c>
      <c r="F16" s="21">
        <v>79.599999999999994</v>
      </c>
      <c r="G16" s="21"/>
      <c r="H16" s="21"/>
      <c r="I16" s="21">
        <v>7.6</v>
      </c>
      <c r="J16" s="21">
        <v>25</v>
      </c>
      <c r="K16" s="21">
        <v>31.2</v>
      </c>
      <c r="L16" s="21">
        <v>100</v>
      </c>
      <c r="M16" s="21">
        <v>185</v>
      </c>
      <c r="N16" s="24">
        <f t="shared" si="21"/>
        <v>0</v>
      </c>
      <c r="O16" s="21">
        <f t="shared" si="22"/>
        <v>6660</v>
      </c>
      <c r="P16" s="21">
        <f t="shared" si="23"/>
        <v>14725.999999999998</v>
      </c>
      <c r="Q16" s="23">
        <f t="shared" si="33"/>
        <v>0</v>
      </c>
      <c r="R16" s="21">
        <f t="shared" si="24"/>
        <v>0</v>
      </c>
      <c r="S16" s="21">
        <f t="shared" si="25"/>
        <v>1406</v>
      </c>
      <c r="T16" s="21">
        <f t="shared" si="26"/>
        <v>4625</v>
      </c>
      <c r="U16" s="21">
        <f t="shared" si="27"/>
        <v>5772</v>
      </c>
      <c r="V16" s="21">
        <f t="shared" si="28"/>
        <v>18500</v>
      </c>
      <c r="Z16" s="1" t="s">
        <v>214</v>
      </c>
      <c r="AA16" s="19">
        <f t="shared" ref="AA16:AI16" si="35">N175+N192+N193+N203+N204+N206</f>
        <v>0</v>
      </c>
      <c r="AB16" s="19">
        <f t="shared" si="35"/>
        <v>0</v>
      </c>
      <c r="AC16" s="19">
        <f t="shared" si="35"/>
        <v>0</v>
      </c>
      <c r="AD16" s="19">
        <f t="shared" si="35"/>
        <v>0</v>
      </c>
      <c r="AE16" s="19">
        <f t="shared" si="35"/>
        <v>0</v>
      </c>
      <c r="AF16" s="19">
        <f t="shared" si="35"/>
        <v>0</v>
      </c>
      <c r="AG16" s="19">
        <f t="shared" si="35"/>
        <v>33103.800000000003</v>
      </c>
      <c r="AH16" s="19">
        <f t="shared" si="35"/>
        <v>12908.4</v>
      </c>
      <c r="AI16" s="19">
        <f t="shared" si="35"/>
        <v>421236.4</v>
      </c>
      <c r="AL16" s="1" t="s">
        <v>214</v>
      </c>
      <c r="AM16" s="1"/>
      <c r="AN16" s="1"/>
      <c r="AO16" s="1"/>
      <c r="AP16" s="1"/>
      <c r="AQ16" s="1"/>
      <c r="AR16" s="1"/>
      <c r="AS16" s="21">
        <v>0</v>
      </c>
      <c r="AT16" s="21">
        <v>0</v>
      </c>
      <c r="AU16" s="21">
        <v>0</v>
      </c>
      <c r="AV16" s="21">
        <v>0</v>
      </c>
      <c r="AW16" s="21">
        <v>0</v>
      </c>
      <c r="AX16" s="21">
        <v>0</v>
      </c>
      <c r="AY16" s="21">
        <v>33.1</v>
      </c>
      <c r="AZ16" s="21">
        <v>12.9</v>
      </c>
      <c r="BA16" s="21">
        <v>421.2</v>
      </c>
      <c r="BB16" s="19">
        <v>1095.4000000000001</v>
      </c>
      <c r="BC16" s="19">
        <v>1124.8</v>
      </c>
      <c r="BD16" s="19">
        <v>1436.1</v>
      </c>
      <c r="BE16" s="1">
        <v>80.599999999999994</v>
      </c>
      <c r="BF16" s="19">
        <v>341.8</v>
      </c>
      <c r="BG16" s="19">
        <f t="shared" si="2"/>
        <v>344.53440000000001</v>
      </c>
      <c r="BH16" s="19">
        <v>0.8</v>
      </c>
      <c r="BI16">
        <f t="shared" si="3"/>
        <v>2.7343999999999999</v>
      </c>
      <c r="BJ16" s="42">
        <f t="shared" si="4"/>
        <v>100.8</v>
      </c>
      <c r="BP16" s="73">
        <v>3</v>
      </c>
      <c r="BQ16" s="64" t="s">
        <v>282</v>
      </c>
      <c r="BR16" s="74">
        <f>BR17+BR23</f>
        <v>83.8</v>
      </c>
      <c r="BS16" s="74">
        <f t="shared" ref="BS16:CI16" si="36">BS17+BS23</f>
        <v>405.99999999999994</v>
      </c>
      <c r="BT16" s="74">
        <f t="shared" si="36"/>
        <v>1286.6000000000001</v>
      </c>
      <c r="BU16" s="74">
        <f t="shared" si="36"/>
        <v>1399.9</v>
      </c>
      <c r="BV16" s="74">
        <f t="shared" si="36"/>
        <v>3049.4</v>
      </c>
      <c r="BW16" s="74">
        <f t="shared" si="36"/>
        <v>5265.0000000000009</v>
      </c>
      <c r="BX16" s="74">
        <f t="shared" si="36"/>
        <v>510.9</v>
      </c>
      <c r="BY16" s="74">
        <f t="shared" si="36"/>
        <v>993.30000000000007</v>
      </c>
      <c r="BZ16" s="74">
        <f t="shared" si="36"/>
        <v>1025.3</v>
      </c>
      <c r="CA16" s="74">
        <f t="shared" si="36"/>
        <v>860.99999999999989</v>
      </c>
      <c r="CB16" s="74">
        <f t="shared" si="36"/>
        <v>996.6</v>
      </c>
      <c r="CC16" s="74">
        <f t="shared" si="36"/>
        <v>938.69999999999993</v>
      </c>
      <c r="CD16" s="74">
        <f t="shared" si="36"/>
        <v>1889.8999999999999</v>
      </c>
      <c r="CE16" s="74">
        <f t="shared" si="36"/>
        <v>2401.8999999999996</v>
      </c>
      <c r="CF16" s="74">
        <f t="shared" si="36"/>
        <v>2409.7000000000003</v>
      </c>
      <c r="CG16" s="74">
        <f t="shared" si="36"/>
        <v>3340.6</v>
      </c>
      <c r="CH16" s="74">
        <f t="shared" si="36"/>
        <v>3943</v>
      </c>
      <c r="CI16" s="74">
        <f t="shared" si="36"/>
        <v>4348.8999999999996</v>
      </c>
      <c r="CJ16" s="74">
        <v>2190.3000000000002</v>
      </c>
      <c r="CK16" s="75">
        <v>2016.1</v>
      </c>
      <c r="CL16" s="75">
        <f>CL17+CL23</f>
        <v>2425.6999999999998</v>
      </c>
      <c r="CM16" s="75">
        <f>CM17+CM23</f>
        <v>4032.4</v>
      </c>
      <c r="CN16" s="36">
        <v>3</v>
      </c>
      <c r="CO16" s="64" t="s">
        <v>282</v>
      </c>
      <c r="CP16" s="42">
        <f t="shared" ref="CP16:CS33" si="37">BS16/BR16*100</f>
        <v>484.4868735083532</v>
      </c>
      <c r="CQ16" s="7">
        <f t="shared" si="8"/>
        <v>316.89655172413802</v>
      </c>
      <c r="CR16" s="42">
        <f t="shared" si="8"/>
        <v>108.80615575936577</v>
      </c>
      <c r="CS16" s="42">
        <f t="shared" si="8"/>
        <v>217.82984498892776</v>
      </c>
      <c r="CT16" s="42">
        <f t="shared" si="9"/>
        <v>172.65691611464553</v>
      </c>
      <c r="CU16" s="42">
        <f t="shared" si="10"/>
        <v>9.7037037037037024</v>
      </c>
      <c r="CV16" s="42">
        <f t="shared" si="11"/>
        <v>194.42160892542574</v>
      </c>
      <c r="CW16" s="42">
        <f t="shared" si="12"/>
        <v>103.22158461693346</v>
      </c>
      <c r="CX16" s="42">
        <f t="shared" si="13"/>
        <v>83.975421827757728</v>
      </c>
      <c r="CY16" s="42">
        <f t="shared" si="14"/>
        <v>115.74912891986064</v>
      </c>
      <c r="CZ16" s="42">
        <f t="shared" si="15"/>
        <v>94.190246839253462</v>
      </c>
      <c r="DA16" s="42">
        <f t="shared" si="16"/>
        <v>201.33162884840738</v>
      </c>
      <c r="DB16" s="42">
        <f t="shared" si="17"/>
        <v>127.09138049632254</v>
      </c>
      <c r="DC16" s="42">
        <f t="shared" si="18"/>
        <v>100.32474291186146</v>
      </c>
      <c r="DD16" s="42">
        <f t="shared" si="19"/>
        <v>138.63136490019502</v>
      </c>
      <c r="DE16" s="42">
        <f t="shared" si="20"/>
        <v>118.03268873854998</v>
      </c>
      <c r="DF16" s="42">
        <f t="shared" si="20"/>
        <v>110.29419223941161</v>
      </c>
      <c r="DG16" s="42">
        <f t="shared" si="20"/>
        <v>50.364459978385348</v>
      </c>
      <c r="DH16" s="42">
        <f t="shared" si="30"/>
        <v>92.046751586540637</v>
      </c>
      <c r="DI16" s="42">
        <f t="shared" si="30"/>
        <v>120.31645255691681</v>
      </c>
      <c r="DJ16" s="42">
        <f t="shared" ref="DJ16:DJ24" si="38">CM16/CL16*100</f>
        <v>166.23655027414767</v>
      </c>
    </row>
    <row r="17" spans="1:114" ht="22.5" x14ac:dyDescent="0.2">
      <c r="A17" s="21"/>
      <c r="B17" s="21" t="s">
        <v>19</v>
      </c>
      <c r="C17" s="21" t="s">
        <v>9</v>
      </c>
      <c r="D17" s="21">
        <v>0</v>
      </c>
      <c r="E17" s="21"/>
      <c r="F17" s="21">
        <v>70.5</v>
      </c>
      <c r="G17" s="21"/>
      <c r="H17" s="21"/>
      <c r="I17" s="21">
        <v>13.5</v>
      </c>
      <c r="J17" s="21">
        <v>20</v>
      </c>
      <c r="K17" s="21">
        <v>33.1</v>
      </c>
      <c r="L17" s="21">
        <v>50</v>
      </c>
      <c r="M17" s="21">
        <v>140</v>
      </c>
      <c r="N17" s="24">
        <f t="shared" si="21"/>
        <v>0</v>
      </c>
      <c r="O17" s="21">
        <f t="shared" si="22"/>
        <v>0</v>
      </c>
      <c r="P17" s="21">
        <f t="shared" si="23"/>
        <v>9870</v>
      </c>
      <c r="Q17" s="23">
        <f t="shared" si="33"/>
        <v>0</v>
      </c>
      <c r="R17" s="21">
        <f t="shared" si="24"/>
        <v>0</v>
      </c>
      <c r="S17" s="21">
        <f t="shared" si="25"/>
        <v>1890</v>
      </c>
      <c r="T17" s="21">
        <f t="shared" si="26"/>
        <v>2800</v>
      </c>
      <c r="U17" s="21">
        <f t="shared" si="27"/>
        <v>4634</v>
      </c>
      <c r="V17" s="21">
        <f t="shared" si="28"/>
        <v>7000</v>
      </c>
      <c r="Z17" s="1" t="s">
        <v>215</v>
      </c>
      <c r="AA17" s="19">
        <f t="shared" ref="AA17:AI17" si="39">N53+N55+N56+N81+N136+N190+N51</f>
        <v>0</v>
      </c>
      <c r="AB17" s="19">
        <f t="shared" si="39"/>
        <v>0</v>
      </c>
      <c r="AC17" s="19">
        <f t="shared" si="39"/>
        <v>432.32</v>
      </c>
      <c r="AD17" s="19">
        <f t="shared" si="39"/>
        <v>5863.6399999999994</v>
      </c>
      <c r="AE17" s="19">
        <f t="shared" si="39"/>
        <v>1504.4399999999998</v>
      </c>
      <c r="AF17" s="19">
        <f t="shared" si="39"/>
        <v>512.92000000000007</v>
      </c>
      <c r="AG17" s="19">
        <f t="shared" si="39"/>
        <v>5115.8600000000006</v>
      </c>
      <c r="AH17" s="19">
        <f t="shared" si="39"/>
        <v>12590.8</v>
      </c>
      <c r="AI17" s="19">
        <f t="shared" si="39"/>
        <v>12284.08</v>
      </c>
      <c r="AL17" s="1" t="s">
        <v>215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287.60000000000002</v>
      </c>
      <c r="AS17" s="21">
        <v>0</v>
      </c>
      <c r="AT17" s="21">
        <v>0</v>
      </c>
      <c r="AU17" s="21">
        <v>0.4</v>
      </c>
      <c r="AV17" s="21">
        <v>5.8</v>
      </c>
      <c r="AW17" s="21">
        <v>1.5</v>
      </c>
      <c r="AX17" s="21">
        <v>2.8</v>
      </c>
      <c r="AY17" s="21">
        <v>5.0999999999999996</v>
      </c>
      <c r="AZ17" s="21">
        <v>9.5</v>
      </c>
      <c r="BA17" s="21">
        <v>12.3</v>
      </c>
      <c r="BB17" s="19">
        <v>6.7</v>
      </c>
      <c r="BC17" s="19">
        <v>0.5</v>
      </c>
      <c r="BD17" s="19">
        <v>3</v>
      </c>
      <c r="BE17" s="1">
        <v>4.5999999999999996</v>
      </c>
      <c r="BF17" s="19">
        <v>4.5999999999999996</v>
      </c>
      <c r="BG17" s="19">
        <v>14.8</v>
      </c>
      <c r="BH17" s="19">
        <v>322.39999999999998</v>
      </c>
      <c r="BI17">
        <f t="shared" si="3"/>
        <v>14.830399999999997</v>
      </c>
      <c r="BJ17" s="42">
        <f t="shared" si="4"/>
        <v>321.73913043478268</v>
      </c>
      <c r="BP17" s="76"/>
      <c r="BQ17" s="66" t="s">
        <v>283</v>
      </c>
      <c r="BR17" s="74">
        <f>SUM(BR22+BR21+BR20+BR19)</f>
        <v>80.599999999999994</v>
      </c>
      <c r="BS17" s="74">
        <f t="shared" ref="BS17:CC17" si="40">SUM(BS22+BS21+BS20+BS19)</f>
        <v>402.29999999999995</v>
      </c>
      <c r="BT17" s="74">
        <f t="shared" si="40"/>
        <v>1251.3000000000002</v>
      </c>
      <c r="BU17" s="74">
        <f t="shared" si="40"/>
        <v>1342.2</v>
      </c>
      <c r="BV17" s="74">
        <f t="shared" si="40"/>
        <v>2960</v>
      </c>
      <c r="BW17" s="74">
        <f t="shared" si="40"/>
        <v>4925.2000000000007</v>
      </c>
      <c r="BX17" s="74">
        <f t="shared" si="40"/>
        <v>400</v>
      </c>
      <c r="BY17" s="74">
        <f t="shared" si="40"/>
        <v>722.7</v>
      </c>
      <c r="BZ17" s="74">
        <f t="shared" si="40"/>
        <v>815.8</v>
      </c>
      <c r="CA17" s="74">
        <f t="shared" si="40"/>
        <v>687.19999999999993</v>
      </c>
      <c r="CB17" s="74">
        <f t="shared" si="40"/>
        <v>885.2</v>
      </c>
      <c r="CC17" s="74">
        <f t="shared" si="40"/>
        <v>703.4</v>
      </c>
      <c r="CD17" s="74">
        <f>SUM(CD22+CD21+CD20+CD19+CD18)</f>
        <v>1581.1</v>
      </c>
      <c r="CE17" s="74">
        <f t="shared" ref="CE17:CJ17" si="41">SUM(CE22+CE21+CE20+CE19+CE18)</f>
        <v>2081.1999999999998</v>
      </c>
      <c r="CF17" s="74">
        <f t="shared" si="41"/>
        <v>1987.4</v>
      </c>
      <c r="CG17" s="74">
        <f t="shared" si="41"/>
        <v>3001.7</v>
      </c>
      <c r="CH17" s="74">
        <f t="shared" si="41"/>
        <v>3333.2</v>
      </c>
      <c r="CI17" s="74">
        <f t="shared" si="41"/>
        <v>3688.5</v>
      </c>
      <c r="CJ17" s="74">
        <f t="shared" si="41"/>
        <v>1427.6</v>
      </c>
      <c r="CK17" s="76">
        <v>1162.2</v>
      </c>
      <c r="CL17" s="75">
        <f>SUM(CL18:CL22)</f>
        <v>1260.7</v>
      </c>
      <c r="CM17" s="75">
        <f>SUM(CM18:CM22)</f>
        <v>3444.6</v>
      </c>
      <c r="CN17" s="36"/>
      <c r="CO17" s="66" t="s">
        <v>283</v>
      </c>
      <c r="CP17" s="42">
        <f t="shared" si="37"/>
        <v>499.13151364764269</v>
      </c>
      <c r="CQ17" s="67">
        <f t="shared" si="8"/>
        <v>311.03653989560036</v>
      </c>
      <c r="CR17" s="42">
        <f t="shared" si="8"/>
        <v>107.26444497722368</v>
      </c>
      <c r="CS17" s="42">
        <f t="shared" si="8"/>
        <v>220.533452540605</v>
      </c>
      <c r="CT17" s="42">
        <f t="shared" si="9"/>
        <v>166.39189189189193</v>
      </c>
      <c r="CU17" s="42">
        <f t="shared" si="10"/>
        <v>8.1214976041582059</v>
      </c>
      <c r="CV17" s="42">
        <f t="shared" si="11"/>
        <v>180.67500000000001</v>
      </c>
      <c r="CW17" s="42">
        <f t="shared" si="12"/>
        <v>112.88224712882247</v>
      </c>
      <c r="CX17" s="42">
        <f t="shared" si="13"/>
        <v>84.236332434420206</v>
      </c>
      <c r="CY17" s="42">
        <f t="shared" si="14"/>
        <v>128.81257275902215</v>
      </c>
      <c r="CZ17" s="42">
        <f t="shared" si="15"/>
        <v>79.462268413917741</v>
      </c>
      <c r="DA17" s="42">
        <f t="shared" si="16"/>
        <v>224.77964174011942</v>
      </c>
      <c r="DB17" s="42">
        <f t="shared" si="17"/>
        <v>131.62987793308457</v>
      </c>
      <c r="DC17" s="42">
        <f t="shared" si="18"/>
        <v>95.492984816452065</v>
      </c>
      <c r="DD17" s="42">
        <f t="shared" si="19"/>
        <v>151.03653013988122</v>
      </c>
      <c r="DE17" s="42">
        <f t="shared" si="20"/>
        <v>111.04374187960155</v>
      </c>
      <c r="DF17" s="42">
        <f t="shared" si="20"/>
        <v>110.65942637705508</v>
      </c>
      <c r="DG17" s="42">
        <f t="shared" si="20"/>
        <v>38.704080249423882</v>
      </c>
      <c r="DH17" s="42">
        <f t="shared" si="30"/>
        <v>81.409358363687318</v>
      </c>
      <c r="DI17" s="42">
        <f t="shared" si="30"/>
        <v>108.47530545517124</v>
      </c>
      <c r="DJ17" s="42">
        <f t="shared" si="38"/>
        <v>273.22915840406125</v>
      </c>
    </row>
    <row r="18" spans="1:114" x14ac:dyDescent="0.2">
      <c r="A18" s="25" t="s">
        <v>10</v>
      </c>
      <c r="B18" s="25"/>
      <c r="C18" s="25" t="s">
        <v>3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3">
        <f t="shared" si="33"/>
        <v>0</v>
      </c>
      <c r="R18" s="25"/>
      <c r="S18" s="25"/>
      <c r="T18" s="25"/>
      <c r="U18" s="25"/>
      <c r="V18" s="25"/>
      <c r="Z18" s="1" t="s">
        <v>216</v>
      </c>
      <c r="AA18" s="19">
        <f t="shared" ref="AA18:AI18" si="42">N15+N16+N20+N28+N29+N39+N84+N105+N108+N111+N114+N117+N120+N123+N127+N152+N155+N156+N166+N169+N172</f>
        <v>49168.009999999995</v>
      </c>
      <c r="AB18" s="19">
        <f t="shared" si="42"/>
        <v>63382.07</v>
      </c>
      <c r="AC18" s="19">
        <f t="shared" si="42"/>
        <v>124352.54000000001</v>
      </c>
      <c r="AD18" s="19">
        <f t="shared" si="42"/>
        <v>79232.03</v>
      </c>
      <c r="AE18" s="19">
        <f t="shared" si="42"/>
        <v>88240.05</v>
      </c>
      <c r="AF18" s="19">
        <f t="shared" si="42"/>
        <v>77746.98</v>
      </c>
      <c r="AG18" s="19">
        <f t="shared" si="42"/>
        <v>87977.299999999988</v>
      </c>
      <c r="AH18" s="19">
        <f t="shared" si="42"/>
        <v>240514.44</v>
      </c>
      <c r="AI18" s="19">
        <f t="shared" si="42"/>
        <v>241035.56</v>
      </c>
      <c r="AL18" s="1" t="s">
        <v>216</v>
      </c>
      <c r="AM18" s="1">
        <v>11.8</v>
      </c>
      <c r="AN18" s="1">
        <v>39.9</v>
      </c>
      <c r="AO18" s="1">
        <v>560.70000000000005</v>
      </c>
      <c r="AP18" s="1">
        <v>831.2</v>
      </c>
      <c r="AQ18" s="1">
        <v>2207.4</v>
      </c>
      <c r="AR18" s="1">
        <v>3177.4</v>
      </c>
      <c r="AS18" s="21">
        <v>49.1</v>
      </c>
      <c r="AT18" s="21">
        <v>63.4</v>
      </c>
      <c r="AU18" s="21">
        <v>124.3</v>
      </c>
      <c r="AV18" s="21">
        <v>79.2</v>
      </c>
      <c r="AW18" s="21">
        <v>92.6</v>
      </c>
      <c r="AX18" s="21">
        <v>79.599999999999994</v>
      </c>
      <c r="AY18" s="21">
        <v>90.7</v>
      </c>
      <c r="AZ18" s="21">
        <v>245.1</v>
      </c>
      <c r="BA18" s="21">
        <v>248</v>
      </c>
      <c r="BB18" s="19">
        <v>178.4</v>
      </c>
      <c r="BC18" s="19">
        <v>251.1</v>
      </c>
      <c r="BD18" s="19">
        <v>356.7</v>
      </c>
      <c r="BE18" s="1">
        <v>370.3</v>
      </c>
      <c r="BF18" s="19">
        <v>630.9</v>
      </c>
      <c r="BG18" s="19">
        <f>BF18+BI18</f>
        <v>645.41070000000002</v>
      </c>
      <c r="BH18" s="19">
        <v>2.2999999999999998</v>
      </c>
      <c r="BI18">
        <f t="shared" si="3"/>
        <v>14.5107</v>
      </c>
      <c r="BJ18" s="42">
        <f t="shared" si="4"/>
        <v>102.30000000000001</v>
      </c>
      <c r="BP18" s="76"/>
      <c r="BQ18" s="65" t="s">
        <v>320</v>
      </c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>
        <v>33.1</v>
      </c>
      <c r="CE18" s="74">
        <v>12.9</v>
      </c>
      <c r="CF18" s="74">
        <v>421.2</v>
      </c>
      <c r="CG18" s="74">
        <v>1095.4000000000001</v>
      </c>
      <c r="CH18" s="74">
        <v>1124.8</v>
      </c>
      <c r="CI18" s="74">
        <v>1436.1</v>
      </c>
      <c r="CJ18" s="74">
        <v>80.599999999999994</v>
      </c>
      <c r="CK18" s="75">
        <v>341.8</v>
      </c>
      <c r="CL18" s="75">
        <v>344.5</v>
      </c>
      <c r="CM18" s="75">
        <v>2763.9</v>
      </c>
      <c r="CN18" s="36"/>
      <c r="CO18" s="65" t="s">
        <v>284</v>
      </c>
      <c r="CP18" s="42"/>
      <c r="CQ18" s="7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>
        <f t="shared" si="17"/>
        <v>38.972809667673715</v>
      </c>
      <c r="DC18" s="42">
        <f t="shared" si="18"/>
        <v>3265.1162790697676</v>
      </c>
      <c r="DD18" s="42">
        <f t="shared" si="19"/>
        <v>260.06647673314347</v>
      </c>
      <c r="DE18" s="42">
        <f t="shared" si="20"/>
        <v>102.68395106810297</v>
      </c>
      <c r="DF18" s="42">
        <f t="shared" si="20"/>
        <v>127.67603129445236</v>
      </c>
      <c r="DG18" s="42">
        <f t="shared" si="20"/>
        <v>5.6124225332497737</v>
      </c>
      <c r="DH18" s="42">
        <f t="shared" si="30"/>
        <v>424.06947890818867</v>
      </c>
      <c r="DI18" s="42">
        <f t="shared" si="30"/>
        <v>100.7899356348742</v>
      </c>
      <c r="DJ18" s="42">
        <f t="shared" si="38"/>
        <v>802.29317851959365</v>
      </c>
    </row>
    <row r="19" spans="1:114" x14ac:dyDescent="0.2">
      <c r="A19" s="21" t="s">
        <v>89</v>
      </c>
      <c r="B19" s="21" t="s">
        <v>90</v>
      </c>
      <c r="C19" s="21" t="s">
        <v>91</v>
      </c>
      <c r="D19" s="21">
        <v>28.8</v>
      </c>
      <c r="E19" s="21">
        <v>36</v>
      </c>
      <c r="F19" s="21">
        <v>10.3</v>
      </c>
      <c r="G19" s="21"/>
      <c r="H19" s="21"/>
      <c r="I19" s="21"/>
      <c r="J19" s="21"/>
      <c r="K19" s="21"/>
      <c r="L19" s="21"/>
      <c r="M19" s="21"/>
      <c r="N19" s="23">
        <f t="shared" ref="N19:N30" si="43">D19*M19</f>
        <v>0</v>
      </c>
      <c r="O19" s="23">
        <f t="shared" ref="O19:O30" si="44">E19*M19</f>
        <v>0</v>
      </c>
      <c r="P19" s="23">
        <f t="shared" ref="P19:P30" si="45">F19*M19</f>
        <v>0</v>
      </c>
      <c r="Q19" s="23">
        <f t="shared" si="33"/>
        <v>0</v>
      </c>
      <c r="R19" s="23">
        <f t="shared" ref="R19:R30" si="46">H19*M19</f>
        <v>0</v>
      </c>
      <c r="S19" s="23">
        <f t="shared" ref="S19:S30" si="47">I19*M19</f>
        <v>0</v>
      </c>
      <c r="T19" s="23">
        <f t="shared" ref="T19:T30" si="48">J19*M19</f>
        <v>0</v>
      </c>
      <c r="U19" s="23">
        <f t="shared" ref="U19:U30" si="49">K19*M19</f>
        <v>0</v>
      </c>
      <c r="V19" s="23">
        <f t="shared" ref="V19:V30" si="50">L19*M19</f>
        <v>0</v>
      </c>
      <c r="Z19" s="1" t="s">
        <v>217</v>
      </c>
      <c r="AA19" s="19">
        <f t="shared" ref="AA19:AI19" si="51">N21+N22+N24+N25+N42+N49+N50+N52+N54+N57+N80+N83+N135+N189+N196+N197+N199</f>
        <v>345457.02</v>
      </c>
      <c r="AB19" s="19">
        <f t="shared" si="51"/>
        <v>651579.09</v>
      </c>
      <c r="AC19" s="19">
        <f t="shared" si="51"/>
        <v>677612.57</v>
      </c>
      <c r="AD19" s="19">
        <f t="shared" si="51"/>
        <v>590389.23</v>
      </c>
      <c r="AE19" s="19">
        <f t="shared" si="51"/>
        <v>787928.19999999984</v>
      </c>
      <c r="AF19" s="19">
        <f t="shared" si="51"/>
        <v>618202.49</v>
      </c>
      <c r="AG19" s="19">
        <f t="shared" si="51"/>
        <v>1428665.92</v>
      </c>
      <c r="AH19" s="19">
        <f t="shared" si="51"/>
        <v>1807400.3900000004</v>
      </c>
      <c r="AI19" s="19">
        <f t="shared" si="51"/>
        <v>1323741.2899999998</v>
      </c>
      <c r="AL19" s="1" t="s">
        <v>217</v>
      </c>
      <c r="AM19" s="1">
        <v>0</v>
      </c>
      <c r="AN19" s="1">
        <v>13.9</v>
      </c>
      <c r="AO19" s="1">
        <v>26.1</v>
      </c>
      <c r="AP19" s="1">
        <v>165.6</v>
      </c>
      <c r="AQ19" s="1">
        <v>500.1</v>
      </c>
      <c r="AR19" s="1">
        <v>457.8</v>
      </c>
      <c r="AS19" s="21">
        <v>345.4</v>
      </c>
      <c r="AT19" s="21">
        <v>651.6</v>
      </c>
      <c r="AU19" s="21">
        <v>677.6</v>
      </c>
      <c r="AV19" s="21">
        <v>590.29999999999995</v>
      </c>
      <c r="AW19" s="21">
        <v>787.9</v>
      </c>
      <c r="AX19" s="21">
        <v>618.20000000000005</v>
      </c>
      <c r="AY19" s="21">
        <v>1428.6</v>
      </c>
      <c r="AZ19" s="21">
        <v>1801.6</v>
      </c>
      <c r="BA19" s="21">
        <v>1320.6</v>
      </c>
      <c r="BB19" s="19">
        <v>1700.6</v>
      </c>
      <c r="BC19" s="19">
        <v>1906.7</v>
      </c>
      <c r="BD19" s="19">
        <v>1805.2</v>
      </c>
      <c r="BE19" s="1">
        <v>915</v>
      </c>
      <c r="BF19" s="19">
        <v>128.19999999999999</v>
      </c>
      <c r="BG19" s="19">
        <f t="shared" ref="BG19:BG23" si="52">BF19+BI19</f>
        <v>184.47979999999998</v>
      </c>
      <c r="BH19" s="19">
        <v>43.9</v>
      </c>
      <c r="BI19">
        <f t="shared" si="3"/>
        <v>56.279799999999994</v>
      </c>
      <c r="BJ19" s="42">
        <f t="shared" si="4"/>
        <v>143.9</v>
      </c>
      <c r="BP19" s="76"/>
      <c r="BQ19" s="65" t="s">
        <v>285</v>
      </c>
      <c r="BR19" s="74"/>
      <c r="BS19" s="74"/>
      <c r="BT19" s="74"/>
      <c r="BU19" s="74"/>
      <c r="BV19" s="74"/>
      <c r="BW19" s="74">
        <v>287.60000000000002</v>
      </c>
      <c r="BX19" s="74"/>
      <c r="BY19" s="74"/>
      <c r="BZ19" s="74">
        <v>0.4</v>
      </c>
      <c r="CA19" s="74">
        <v>5.8</v>
      </c>
      <c r="CB19" s="74">
        <v>1.5</v>
      </c>
      <c r="CC19" s="74">
        <v>2.8</v>
      </c>
      <c r="CD19" s="74">
        <v>5.0999999999999996</v>
      </c>
      <c r="CE19" s="74">
        <v>13.6</v>
      </c>
      <c r="CF19" s="74">
        <v>13.9</v>
      </c>
      <c r="CG19" s="74">
        <v>6.7</v>
      </c>
      <c r="CH19" s="74">
        <v>0.5</v>
      </c>
      <c r="CI19" s="74">
        <v>3</v>
      </c>
      <c r="CJ19" s="74">
        <v>4.5999999999999996</v>
      </c>
      <c r="CK19" s="75">
        <v>4.5999999999999996</v>
      </c>
      <c r="CL19" s="75">
        <v>14.8</v>
      </c>
      <c r="CM19" s="75">
        <v>6.6</v>
      </c>
      <c r="CN19" s="36"/>
      <c r="CO19" s="65" t="s">
        <v>285</v>
      </c>
      <c r="CP19" s="42"/>
      <c r="CQ19" s="7"/>
      <c r="CR19" s="42"/>
      <c r="CS19" s="42"/>
      <c r="CT19" s="42"/>
      <c r="CU19" s="42"/>
      <c r="CV19" s="42"/>
      <c r="CW19" s="42"/>
      <c r="CX19" s="42">
        <f t="shared" si="13"/>
        <v>1449.9999999999998</v>
      </c>
      <c r="CY19" s="42">
        <f t="shared" si="14"/>
        <v>25.862068965517242</v>
      </c>
      <c r="CZ19" s="42">
        <f t="shared" si="15"/>
        <v>186.66666666666666</v>
      </c>
      <c r="DA19" s="42">
        <f t="shared" si="16"/>
        <v>182.14285714285714</v>
      </c>
      <c r="DB19" s="42">
        <f t="shared" si="17"/>
        <v>266.66666666666669</v>
      </c>
      <c r="DC19" s="42">
        <f t="shared" si="18"/>
        <v>102.20588235294119</v>
      </c>
      <c r="DD19" s="42">
        <f t="shared" si="19"/>
        <v>48.201438848920866</v>
      </c>
      <c r="DE19" s="42">
        <f t="shared" si="20"/>
        <v>7.4626865671641784</v>
      </c>
      <c r="DF19" s="42">
        <f t="shared" si="20"/>
        <v>600</v>
      </c>
      <c r="DG19" s="42">
        <f t="shared" si="20"/>
        <v>153.33333333333331</v>
      </c>
      <c r="DH19" s="42">
        <f t="shared" si="30"/>
        <v>100</v>
      </c>
      <c r="DI19" s="42">
        <f t="shared" si="30"/>
        <v>321.73913043478268</v>
      </c>
      <c r="DJ19" s="42">
        <f t="shared" si="38"/>
        <v>44.594594594594589</v>
      </c>
    </row>
    <row r="20" spans="1:114" x14ac:dyDescent="0.2">
      <c r="A20" s="21" t="s">
        <v>92</v>
      </c>
      <c r="B20" s="21" t="s">
        <v>93</v>
      </c>
      <c r="C20" s="21" t="s">
        <v>9</v>
      </c>
      <c r="D20" s="21">
        <v>36.6</v>
      </c>
      <c r="E20" s="21">
        <v>44</v>
      </c>
      <c r="F20" s="21">
        <v>45.8</v>
      </c>
      <c r="G20" s="21">
        <v>65.8</v>
      </c>
      <c r="H20" s="21">
        <v>100.5</v>
      </c>
      <c r="I20" s="21">
        <v>100.5</v>
      </c>
      <c r="J20" s="21">
        <v>94.4</v>
      </c>
      <c r="K20" s="21">
        <v>249.6</v>
      </c>
      <c r="L20" s="21">
        <v>197.4</v>
      </c>
      <c r="M20" s="21">
        <v>668.4</v>
      </c>
      <c r="N20" s="24">
        <f t="shared" si="43"/>
        <v>24463.439999999999</v>
      </c>
      <c r="O20" s="21">
        <f t="shared" si="44"/>
        <v>29409.599999999999</v>
      </c>
      <c r="P20" s="21">
        <f t="shared" si="45"/>
        <v>30612.719999999998</v>
      </c>
      <c r="Q20" s="23">
        <f t="shared" si="33"/>
        <v>43980.719999999994</v>
      </c>
      <c r="R20" s="21">
        <f t="shared" si="46"/>
        <v>67174.2</v>
      </c>
      <c r="S20" s="21">
        <f t="shared" si="47"/>
        <v>67174.2</v>
      </c>
      <c r="T20" s="21">
        <f t="shared" si="48"/>
        <v>63096.959999999999</v>
      </c>
      <c r="U20" s="21">
        <f t="shared" si="49"/>
        <v>166832.63999999998</v>
      </c>
      <c r="V20" s="21">
        <f t="shared" si="50"/>
        <v>131942.16</v>
      </c>
      <c r="Z20" s="1" t="s">
        <v>218</v>
      </c>
      <c r="AA20" s="19">
        <f t="shared" ref="AA20:AI20" si="53">N17+N26+N27+N30+N64+N133+N157+N163+N164+N167+N170+N173+N200+N23+N40+N106+N109+N112+N115+N118+N121+N124+N153+N128+N198</f>
        <v>5564.4</v>
      </c>
      <c r="AB20" s="19">
        <f t="shared" si="53"/>
        <v>7738.52</v>
      </c>
      <c r="AC20" s="19">
        <f t="shared" si="53"/>
        <v>13550.43</v>
      </c>
      <c r="AD20" s="19">
        <f t="shared" si="53"/>
        <v>11891.310000000001</v>
      </c>
      <c r="AE20" s="19">
        <f t="shared" si="53"/>
        <v>22856.89</v>
      </c>
      <c r="AF20" s="19">
        <f t="shared" si="53"/>
        <v>40408.490000000005</v>
      </c>
      <c r="AG20" s="19">
        <f t="shared" si="53"/>
        <v>43300.2</v>
      </c>
      <c r="AH20" s="19">
        <f t="shared" si="53"/>
        <v>33548.490000000005</v>
      </c>
      <c r="AI20" s="19">
        <f t="shared" si="53"/>
        <v>677795.3600000001</v>
      </c>
      <c r="AL20" s="1" t="s">
        <v>218</v>
      </c>
      <c r="AM20" s="1">
        <v>68.8</v>
      </c>
      <c r="AN20" s="1">
        <v>348.5</v>
      </c>
      <c r="AO20" s="1">
        <v>664.5</v>
      </c>
      <c r="AP20" s="1">
        <v>345.4</v>
      </c>
      <c r="AQ20" s="1">
        <v>252.5</v>
      </c>
      <c r="AR20" s="1">
        <v>1002.4</v>
      </c>
      <c r="AS20" s="21">
        <v>5.5</v>
      </c>
      <c r="AT20" s="21">
        <v>7.7</v>
      </c>
      <c r="AU20" s="21">
        <v>13.5</v>
      </c>
      <c r="AV20" s="21">
        <v>11.9</v>
      </c>
      <c r="AW20" s="21">
        <v>3.2</v>
      </c>
      <c r="AX20" s="21">
        <v>2.8</v>
      </c>
      <c r="AY20" s="21">
        <v>45</v>
      </c>
      <c r="AZ20" s="21">
        <v>31.5</v>
      </c>
      <c r="BA20" s="21">
        <v>255.1</v>
      </c>
      <c r="BB20" s="19">
        <v>35.9</v>
      </c>
      <c r="BC20" s="19">
        <v>50.1</v>
      </c>
      <c r="BD20" s="19">
        <v>87.5</v>
      </c>
      <c r="BE20" s="1">
        <v>57.1</v>
      </c>
      <c r="BF20" s="19">
        <v>56.7</v>
      </c>
      <c r="BG20" s="19">
        <f t="shared" si="52"/>
        <v>68.833799999999997</v>
      </c>
      <c r="BH20" s="19">
        <v>21.4</v>
      </c>
      <c r="BI20">
        <f t="shared" si="3"/>
        <v>12.133799999999999</v>
      </c>
      <c r="BJ20" s="42">
        <f t="shared" si="4"/>
        <v>121.39999999999999</v>
      </c>
      <c r="BP20" s="76"/>
      <c r="BQ20" s="65" t="s">
        <v>286</v>
      </c>
      <c r="BR20" s="74">
        <v>11.8</v>
      </c>
      <c r="BS20" s="74">
        <v>39.9</v>
      </c>
      <c r="BT20" s="74">
        <v>560.70000000000005</v>
      </c>
      <c r="BU20" s="74">
        <v>831.2</v>
      </c>
      <c r="BV20" s="74">
        <v>2207.4</v>
      </c>
      <c r="BW20" s="74">
        <v>3177.4</v>
      </c>
      <c r="BX20" s="74">
        <v>49.1</v>
      </c>
      <c r="BY20" s="74">
        <v>63.4</v>
      </c>
      <c r="BZ20" s="74">
        <v>124.3</v>
      </c>
      <c r="CA20" s="74">
        <v>79.2</v>
      </c>
      <c r="CB20" s="74">
        <v>92.6</v>
      </c>
      <c r="CC20" s="74">
        <v>79.599999999999994</v>
      </c>
      <c r="CD20" s="74">
        <v>69.3</v>
      </c>
      <c r="CE20" s="74">
        <v>212.1</v>
      </c>
      <c r="CF20" s="74">
        <v>165.5</v>
      </c>
      <c r="CG20" s="74">
        <v>158.6</v>
      </c>
      <c r="CH20" s="74">
        <v>251.1</v>
      </c>
      <c r="CI20" s="74">
        <v>356.7</v>
      </c>
      <c r="CJ20" s="74">
        <v>370.3</v>
      </c>
      <c r="CK20" s="75">
        <v>630.9</v>
      </c>
      <c r="CL20" s="75">
        <v>648.1</v>
      </c>
      <c r="CM20" s="75">
        <v>391.1</v>
      </c>
      <c r="CN20" s="36"/>
      <c r="CO20" s="65" t="s">
        <v>286</v>
      </c>
      <c r="CP20" s="42">
        <f t="shared" si="37"/>
        <v>338.13559322033899</v>
      </c>
      <c r="CQ20" s="7">
        <f t="shared" si="8"/>
        <v>1405.2631578947371</v>
      </c>
      <c r="CR20" s="42">
        <f t="shared" si="8"/>
        <v>148.24326734439092</v>
      </c>
      <c r="CS20" s="42">
        <f t="shared" si="8"/>
        <v>265.56785370548607</v>
      </c>
      <c r="CT20" s="42">
        <f t="shared" si="9"/>
        <v>143.94310048020296</v>
      </c>
      <c r="CU20" s="42">
        <f t="shared" si="10"/>
        <v>1.5452886007427458</v>
      </c>
      <c r="CV20" s="42">
        <f t="shared" si="11"/>
        <v>129.12423625254581</v>
      </c>
      <c r="CW20" s="42">
        <f t="shared" si="12"/>
        <v>196.05678233438485</v>
      </c>
      <c r="CX20" s="42">
        <f t="shared" si="13"/>
        <v>63.716814159292035</v>
      </c>
      <c r="CY20" s="42">
        <f t="shared" si="14"/>
        <v>116.91919191919192</v>
      </c>
      <c r="CZ20" s="42">
        <f t="shared" si="15"/>
        <v>85.961123110151178</v>
      </c>
      <c r="DA20" s="42">
        <f t="shared" si="16"/>
        <v>87.060301507537702</v>
      </c>
      <c r="DB20" s="42">
        <f t="shared" si="17"/>
        <v>306.06060606060606</v>
      </c>
      <c r="DC20" s="42">
        <f t="shared" si="18"/>
        <v>78.029231494578028</v>
      </c>
      <c r="DD20" s="42">
        <f t="shared" si="19"/>
        <v>95.830815709969784</v>
      </c>
      <c r="DE20" s="42">
        <f t="shared" si="20"/>
        <v>158.32282471626735</v>
      </c>
      <c r="DF20" s="42">
        <f t="shared" si="20"/>
        <v>142.05495818399044</v>
      </c>
      <c r="DG20" s="42">
        <f t="shared" si="20"/>
        <v>103.81272778245025</v>
      </c>
      <c r="DH20" s="42">
        <f t="shared" si="30"/>
        <v>170.3753713205509</v>
      </c>
      <c r="DI20" s="42">
        <f t="shared" si="30"/>
        <v>102.72626406720559</v>
      </c>
      <c r="DJ20" s="42">
        <f t="shared" si="38"/>
        <v>60.345625675050151</v>
      </c>
    </row>
    <row r="21" spans="1:114" x14ac:dyDescent="0.2">
      <c r="A21" s="21"/>
      <c r="B21" s="21" t="s">
        <v>13</v>
      </c>
      <c r="C21" s="21" t="s">
        <v>15</v>
      </c>
      <c r="D21" s="21">
        <v>105.4</v>
      </c>
      <c r="E21" s="21">
        <v>148.69999999999999</v>
      </c>
      <c r="F21" s="21">
        <v>180</v>
      </c>
      <c r="G21" s="21">
        <v>176</v>
      </c>
      <c r="H21" s="21">
        <v>255.2</v>
      </c>
      <c r="I21" s="21">
        <v>198.4</v>
      </c>
      <c r="J21" s="21">
        <v>459.4</v>
      </c>
      <c r="K21" s="21">
        <v>589.20000000000005</v>
      </c>
      <c r="L21" s="21">
        <v>428.6</v>
      </c>
      <c r="M21" s="21">
        <v>2963.5</v>
      </c>
      <c r="N21" s="24">
        <f t="shared" si="43"/>
        <v>312352.90000000002</v>
      </c>
      <c r="O21" s="21">
        <f t="shared" si="44"/>
        <v>440672.44999999995</v>
      </c>
      <c r="P21" s="21">
        <f t="shared" si="45"/>
        <v>533430</v>
      </c>
      <c r="Q21" s="23">
        <f t="shared" si="33"/>
        <v>521576</v>
      </c>
      <c r="R21" s="21">
        <f t="shared" si="46"/>
        <v>756285.2</v>
      </c>
      <c r="S21" s="21">
        <f t="shared" si="47"/>
        <v>587958.4</v>
      </c>
      <c r="T21" s="21">
        <f t="shared" si="48"/>
        <v>1361431.9</v>
      </c>
      <c r="U21" s="21">
        <f t="shared" si="49"/>
        <v>1746094.2000000002</v>
      </c>
      <c r="V21" s="21">
        <f t="shared" si="50"/>
        <v>1270156.1000000001</v>
      </c>
      <c r="Y21">
        <v>6</v>
      </c>
      <c r="Z21" s="1" t="s">
        <v>219</v>
      </c>
      <c r="AA21" s="19"/>
      <c r="AB21" s="19"/>
      <c r="AC21" s="19"/>
      <c r="AD21" s="19"/>
      <c r="AE21" s="19"/>
      <c r="AF21" s="19"/>
      <c r="AG21" s="19"/>
      <c r="AH21" s="19"/>
      <c r="AI21" s="19"/>
      <c r="AK21">
        <v>6</v>
      </c>
      <c r="AL21" s="1" t="s">
        <v>219</v>
      </c>
      <c r="AM21" s="1"/>
      <c r="AN21" s="1"/>
      <c r="AO21" s="1"/>
      <c r="AP21" s="1"/>
      <c r="AQ21" s="1"/>
      <c r="AR21" s="1"/>
      <c r="AS21" s="21"/>
      <c r="AT21" s="21"/>
      <c r="AU21" s="21"/>
      <c r="AV21" s="21"/>
      <c r="AW21" s="21"/>
      <c r="AX21" s="21"/>
      <c r="AY21" s="21"/>
      <c r="AZ21" s="21"/>
      <c r="BA21" s="21"/>
      <c r="BB21" s="19"/>
      <c r="BC21" s="19"/>
      <c r="BD21" s="19"/>
      <c r="BE21" s="1"/>
      <c r="BG21" s="19">
        <f t="shared" si="52"/>
        <v>0</v>
      </c>
      <c r="BI21">
        <f t="shared" si="3"/>
        <v>0</v>
      </c>
      <c r="BJ21" s="42" t="e">
        <f t="shared" si="4"/>
        <v>#DIV/0!</v>
      </c>
      <c r="BP21" s="76"/>
      <c r="BQ21" s="65" t="s">
        <v>287</v>
      </c>
      <c r="BR21" s="74"/>
      <c r="BS21" s="74">
        <v>13.9</v>
      </c>
      <c r="BT21" s="74">
        <v>26.1</v>
      </c>
      <c r="BU21" s="74">
        <v>165.6</v>
      </c>
      <c r="BV21" s="74">
        <v>500.1</v>
      </c>
      <c r="BW21" s="74">
        <v>457.8</v>
      </c>
      <c r="BX21" s="74">
        <v>345.4</v>
      </c>
      <c r="BY21" s="74">
        <v>651.6</v>
      </c>
      <c r="BZ21" s="74">
        <v>677.6</v>
      </c>
      <c r="CA21" s="74">
        <v>590.29999999999995</v>
      </c>
      <c r="CB21" s="74">
        <v>787.9</v>
      </c>
      <c r="CC21" s="74">
        <v>618.20000000000005</v>
      </c>
      <c r="CD21" s="74">
        <v>1428.7</v>
      </c>
      <c r="CE21" s="74">
        <v>1811.1</v>
      </c>
      <c r="CF21" s="74">
        <v>1331.2</v>
      </c>
      <c r="CG21" s="74">
        <v>1711</v>
      </c>
      <c r="CH21" s="74">
        <v>1906.7</v>
      </c>
      <c r="CI21" s="74">
        <v>1805.2</v>
      </c>
      <c r="CJ21" s="74">
        <v>915</v>
      </c>
      <c r="CK21" s="75">
        <v>128.19999999999999</v>
      </c>
      <c r="CL21" s="75">
        <v>184.5</v>
      </c>
      <c r="CM21" s="75">
        <v>232</v>
      </c>
      <c r="CN21" s="36"/>
      <c r="CO21" s="65" t="s">
        <v>287</v>
      </c>
      <c r="CP21" s="42"/>
      <c r="CQ21" s="42">
        <f t="shared" si="8"/>
        <v>187.76978417266187</v>
      </c>
      <c r="CR21" s="42">
        <f t="shared" si="8"/>
        <v>634.48275862068954</v>
      </c>
      <c r="CS21" s="42">
        <f t="shared" si="8"/>
        <v>301.99275362318843</v>
      </c>
      <c r="CT21" s="42">
        <f t="shared" si="9"/>
        <v>91.54169166166767</v>
      </c>
      <c r="CU21" s="42">
        <f t="shared" si="10"/>
        <v>75.447793796417642</v>
      </c>
      <c r="CV21" s="42">
        <f t="shared" si="11"/>
        <v>188.65083960625364</v>
      </c>
      <c r="CW21" s="42">
        <f t="shared" si="12"/>
        <v>103.99017802332719</v>
      </c>
      <c r="CX21" s="42">
        <f t="shared" si="13"/>
        <v>87.116292798110976</v>
      </c>
      <c r="CY21" s="42">
        <f t="shared" si="14"/>
        <v>133.47450448924278</v>
      </c>
      <c r="CZ21" s="42">
        <f t="shared" si="15"/>
        <v>78.461733722553632</v>
      </c>
      <c r="DA21" s="42">
        <f t="shared" si="16"/>
        <v>231.10643804593983</v>
      </c>
      <c r="DB21" s="42">
        <f t="shared" si="17"/>
        <v>126.76559109680127</v>
      </c>
      <c r="DC21" s="42">
        <f t="shared" si="18"/>
        <v>73.502291425100779</v>
      </c>
      <c r="DD21" s="42">
        <f t="shared" si="19"/>
        <v>128.53064903846155</v>
      </c>
      <c r="DE21" s="42">
        <f t="shared" si="20"/>
        <v>111.43775569842198</v>
      </c>
      <c r="DF21" s="42">
        <f t="shared" si="20"/>
        <v>94.676666491844557</v>
      </c>
      <c r="DG21" s="42">
        <f t="shared" si="20"/>
        <v>50.686904498116547</v>
      </c>
      <c r="DH21" s="42">
        <f t="shared" si="30"/>
        <v>14.010928961748634</v>
      </c>
      <c r="DI21" s="42">
        <f t="shared" si="30"/>
        <v>143.91575663026521</v>
      </c>
      <c r="DJ21" s="42">
        <f t="shared" si="38"/>
        <v>125.74525745257452</v>
      </c>
    </row>
    <row r="22" spans="1:114" x14ac:dyDescent="0.2">
      <c r="A22" s="21"/>
      <c r="B22" s="21" t="s">
        <v>26</v>
      </c>
      <c r="C22" s="21" t="s">
        <v>15</v>
      </c>
      <c r="D22" s="21">
        <v>22.3</v>
      </c>
      <c r="E22" s="21">
        <v>22.5</v>
      </c>
      <c r="F22" s="21">
        <v>26.9</v>
      </c>
      <c r="G22" s="21">
        <v>34.799999999999997</v>
      </c>
      <c r="H22" s="21">
        <v>69.2</v>
      </c>
      <c r="I22" s="21">
        <v>76.3</v>
      </c>
      <c r="J22" s="21">
        <v>94</v>
      </c>
      <c r="K22" s="21">
        <v>72.900000000000006</v>
      </c>
      <c r="L22" s="21">
        <v>90.7</v>
      </c>
      <c r="M22" s="21">
        <v>195</v>
      </c>
      <c r="N22" s="24">
        <f t="shared" si="43"/>
        <v>4348.5</v>
      </c>
      <c r="O22" s="21">
        <f t="shared" si="44"/>
        <v>4387.5</v>
      </c>
      <c r="P22" s="21">
        <f t="shared" si="45"/>
        <v>5245.5</v>
      </c>
      <c r="Q22" s="23">
        <f t="shared" si="33"/>
        <v>6785.9999999999991</v>
      </c>
      <c r="R22" s="21">
        <f t="shared" si="46"/>
        <v>13494</v>
      </c>
      <c r="S22" s="21">
        <f t="shared" si="47"/>
        <v>14878.5</v>
      </c>
      <c r="T22" s="21">
        <f t="shared" si="48"/>
        <v>18330</v>
      </c>
      <c r="U22" s="21">
        <f t="shared" si="49"/>
        <v>14215.500000000002</v>
      </c>
      <c r="V22" s="21">
        <f t="shared" si="50"/>
        <v>17686.5</v>
      </c>
      <c r="Z22" s="1" t="s">
        <v>213</v>
      </c>
      <c r="AA22" s="19"/>
      <c r="AB22" s="19"/>
      <c r="AC22" s="19"/>
      <c r="AD22" s="19"/>
      <c r="AE22" s="19"/>
      <c r="AF22" s="19"/>
      <c r="AG22" s="19"/>
      <c r="AH22" s="19"/>
      <c r="AI22" s="19"/>
      <c r="AL22" s="1" t="s">
        <v>213</v>
      </c>
      <c r="AM22" s="1"/>
      <c r="AN22" s="1"/>
      <c r="AO22" s="1"/>
      <c r="AP22" s="1"/>
      <c r="AQ22" s="1"/>
      <c r="AR22" s="1"/>
      <c r="AS22" s="21"/>
      <c r="AT22" s="21"/>
      <c r="AU22" s="21"/>
      <c r="AV22" s="21"/>
      <c r="AW22" s="21"/>
      <c r="AX22" s="21"/>
      <c r="AY22" s="21"/>
      <c r="AZ22" s="21"/>
      <c r="BA22" s="21"/>
      <c r="BB22" s="19"/>
      <c r="BC22" s="19"/>
      <c r="BD22" s="19"/>
      <c r="BE22" s="1"/>
      <c r="BG22" s="19">
        <f t="shared" si="52"/>
        <v>0</v>
      </c>
      <c r="BI22">
        <f t="shared" si="3"/>
        <v>0</v>
      </c>
      <c r="BJ22" s="42" t="e">
        <f t="shared" si="4"/>
        <v>#DIV/0!</v>
      </c>
      <c r="BP22" s="76"/>
      <c r="BQ22" s="65" t="s">
        <v>288</v>
      </c>
      <c r="BR22" s="74">
        <v>68.8</v>
      </c>
      <c r="BS22" s="74">
        <v>348.5</v>
      </c>
      <c r="BT22" s="74">
        <v>664.5</v>
      </c>
      <c r="BU22" s="74">
        <v>345.4</v>
      </c>
      <c r="BV22" s="74">
        <v>252.5</v>
      </c>
      <c r="BW22" s="74">
        <v>1002.4</v>
      </c>
      <c r="BX22" s="74">
        <v>5.5</v>
      </c>
      <c r="BY22" s="74">
        <v>7.7</v>
      </c>
      <c r="BZ22" s="74">
        <v>13.5</v>
      </c>
      <c r="CA22" s="74">
        <v>11.9</v>
      </c>
      <c r="CB22" s="74">
        <v>3.2</v>
      </c>
      <c r="CC22" s="74">
        <v>2.8</v>
      </c>
      <c r="CD22" s="74">
        <v>44.9</v>
      </c>
      <c r="CE22" s="74">
        <v>31.5</v>
      </c>
      <c r="CF22" s="74">
        <v>55.6</v>
      </c>
      <c r="CG22" s="74">
        <v>30</v>
      </c>
      <c r="CH22" s="74">
        <v>50.1</v>
      </c>
      <c r="CI22" s="74">
        <v>87.5</v>
      </c>
      <c r="CJ22" s="74">
        <v>57.1</v>
      </c>
      <c r="CK22" s="75">
        <v>56.7</v>
      </c>
      <c r="CL22" s="75">
        <v>68.8</v>
      </c>
      <c r="CM22" s="75">
        <v>51</v>
      </c>
      <c r="CN22" s="36"/>
      <c r="CO22" s="65" t="s">
        <v>288</v>
      </c>
      <c r="CP22" s="42">
        <f t="shared" si="37"/>
        <v>506.54069767441865</v>
      </c>
      <c r="CQ22" s="42">
        <f t="shared" si="8"/>
        <v>190.67431850789097</v>
      </c>
      <c r="CR22" s="42">
        <f t="shared" si="8"/>
        <v>51.978931527464255</v>
      </c>
      <c r="CS22" s="42">
        <f t="shared" si="8"/>
        <v>73.103647944412273</v>
      </c>
      <c r="CT22" s="42">
        <f t="shared" si="9"/>
        <v>396.99009900990097</v>
      </c>
      <c r="CU22" s="42">
        <f t="shared" si="10"/>
        <v>0.54868316041500398</v>
      </c>
      <c r="CV22" s="42">
        <f t="shared" si="11"/>
        <v>140</v>
      </c>
      <c r="CW22" s="42">
        <f t="shared" si="12"/>
        <v>175.32467532467533</v>
      </c>
      <c r="CX22" s="42">
        <f t="shared" si="13"/>
        <v>88.148148148148152</v>
      </c>
      <c r="CY22" s="42">
        <f t="shared" si="14"/>
        <v>26.890756302521009</v>
      </c>
      <c r="CZ22" s="42">
        <f t="shared" si="15"/>
        <v>87.499999999999986</v>
      </c>
      <c r="DA22" s="42">
        <f t="shared" si="16"/>
        <v>1603.5714285714284</v>
      </c>
      <c r="DB22" s="42">
        <f t="shared" si="17"/>
        <v>70.155902004454333</v>
      </c>
      <c r="DC22" s="42">
        <f t="shared" si="18"/>
        <v>176.50793650793651</v>
      </c>
      <c r="DD22" s="42">
        <f t="shared" si="19"/>
        <v>53.956834532374096</v>
      </c>
      <c r="DE22" s="42">
        <f t="shared" si="20"/>
        <v>167.00000000000003</v>
      </c>
      <c r="DF22" s="42">
        <f t="shared" si="20"/>
        <v>174.65069860279442</v>
      </c>
      <c r="DG22" s="42">
        <f t="shared" si="20"/>
        <v>65.257142857142853</v>
      </c>
      <c r="DH22" s="42">
        <f t="shared" si="30"/>
        <v>99.299474605954458</v>
      </c>
      <c r="DI22" s="42">
        <f t="shared" si="30"/>
        <v>121.34038800705467</v>
      </c>
      <c r="DJ22" s="42">
        <f t="shared" si="38"/>
        <v>74.127906976744185</v>
      </c>
    </row>
    <row r="23" spans="1:114" ht="22.5" x14ac:dyDescent="0.2">
      <c r="A23" s="21"/>
      <c r="B23" s="21" t="s">
        <v>14</v>
      </c>
      <c r="C23" s="21" t="s">
        <v>9</v>
      </c>
      <c r="D23" s="21">
        <v>0.2</v>
      </c>
      <c r="E23" s="21">
        <v>0.2</v>
      </c>
      <c r="F23" s="21"/>
      <c r="G23" s="21"/>
      <c r="H23" s="21"/>
      <c r="I23" s="21"/>
      <c r="J23" s="21"/>
      <c r="K23" s="21"/>
      <c r="L23" s="21"/>
      <c r="M23" s="21">
        <v>1078</v>
      </c>
      <c r="N23" s="24">
        <f t="shared" si="43"/>
        <v>215.60000000000002</v>
      </c>
      <c r="O23" s="21">
        <f t="shared" si="44"/>
        <v>215.60000000000002</v>
      </c>
      <c r="P23" s="21">
        <f t="shared" si="45"/>
        <v>0</v>
      </c>
      <c r="Q23" s="23">
        <f t="shared" si="33"/>
        <v>0</v>
      </c>
      <c r="R23" s="21">
        <f t="shared" si="46"/>
        <v>0</v>
      </c>
      <c r="S23" s="21">
        <f t="shared" si="47"/>
        <v>0</v>
      </c>
      <c r="T23" s="21">
        <f t="shared" si="48"/>
        <v>0</v>
      </c>
      <c r="U23" s="21">
        <f t="shared" si="49"/>
        <v>0</v>
      </c>
      <c r="V23" s="21">
        <f t="shared" si="50"/>
        <v>0</v>
      </c>
      <c r="Y23">
        <v>7</v>
      </c>
      <c r="Z23" s="1" t="s">
        <v>51</v>
      </c>
      <c r="AA23" s="19">
        <f t="shared" ref="AA23:AI23" si="54">N33+N36+N45+N78+N87+N88+N93+N94+N95+N96+N97+N98+N145+N150+N176+N177+N178+N179+N180+N181+N138+N139+N140+N141+N142+N143+N144+N159+N160</f>
        <v>4393.8</v>
      </c>
      <c r="AB23" s="19">
        <f t="shared" si="54"/>
        <v>60</v>
      </c>
      <c r="AC23" s="19">
        <f t="shared" si="54"/>
        <v>908</v>
      </c>
      <c r="AD23" s="19">
        <f t="shared" si="54"/>
        <v>6889.4</v>
      </c>
      <c r="AE23" s="19">
        <f t="shared" si="54"/>
        <v>5228.5</v>
      </c>
      <c r="AF23" s="19">
        <f t="shared" si="54"/>
        <v>8347.7999999999993</v>
      </c>
      <c r="AG23" s="19">
        <f t="shared" si="54"/>
        <v>11992</v>
      </c>
      <c r="AH23" s="19">
        <f t="shared" si="54"/>
        <v>13694.5</v>
      </c>
      <c r="AI23" s="19">
        <f t="shared" si="54"/>
        <v>11923.5</v>
      </c>
      <c r="AK23">
        <v>7</v>
      </c>
      <c r="AL23" s="1" t="s">
        <v>51</v>
      </c>
      <c r="AM23" s="1">
        <v>2.2999999999999998</v>
      </c>
      <c r="AN23" s="1">
        <v>1.6</v>
      </c>
      <c r="AO23" s="1">
        <v>16.399999999999999</v>
      </c>
      <c r="AP23" s="1">
        <v>32</v>
      </c>
      <c r="AQ23" s="1">
        <v>54</v>
      </c>
      <c r="AR23" s="1">
        <v>67.5</v>
      </c>
      <c r="AS23" s="21">
        <v>4.4000000000000004</v>
      </c>
      <c r="AT23" s="21"/>
      <c r="AU23" s="21">
        <v>0.9</v>
      </c>
      <c r="AV23" s="21">
        <v>6.9</v>
      </c>
      <c r="AW23" s="21">
        <v>0.9</v>
      </c>
      <c r="AX23" s="21">
        <v>11.8</v>
      </c>
      <c r="AY23" s="21">
        <v>21</v>
      </c>
      <c r="AZ23" s="21">
        <v>22.9</v>
      </c>
      <c r="BA23" s="21">
        <v>20</v>
      </c>
      <c r="BB23" s="19">
        <v>19.8</v>
      </c>
      <c r="BC23" s="19">
        <v>6.9</v>
      </c>
      <c r="BD23" s="19">
        <v>3.9</v>
      </c>
      <c r="BE23" s="1">
        <v>4.5999999999999996</v>
      </c>
      <c r="BF23" s="19">
        <v>11.6</v>
      </c>
      <c r="BG23" s="19">
        <f t="shared" si="52"/>
        <v>18.7804</v>
      </c>
      <c r="BH23" s="19">
        <v>61.9</v>
      </c>
      <c r="BI23">
        <f t="shared" si="3"/>
        <v>7.1803999999999997</v>
      </c>
      <c r="BJ23" s="42">
        <f t="shared" si="4"/>
        <v>161.9</v>
      </c>
      <c r="BP23" s="76"/>
      <c r="BQ23" s="66" t="s">
        <v>289</v>
      </c>
      <c r="BR23" s="74">
        <f>SUM(BR24:BR32)</f>
        <v>3.1999999999999997</v>
      </c>
      <c r="BS23" s="74">
        <f>SUM(BS24:BS32)</f>
        <v>3.7</v>
      </c>
      <c r="BT23" s="74">
        <f t="shared" ref="BT23:CJ23" si="55">SUM(BT24:BT32)</f>
        <v>35.299999999999997</v>
      </c>
      <c r="BU23" s="74">
        <f t="shared" si="55"/>
        <v>57.7</v>
      </c>
      <c r="BV23" s="74">
        <f t="shared" si="55"/>
        <v>89.4</v>
      </c>
      <c r="BW23" s="74">
        <f t="shared" si="55"/>
        <v>339.80000000000007</v>
      </c>
      <c r="BX23" s="74">
        <f t="shared" si="55"/>
        <v>110.89999999999999</v>
      </c>
      <c r="BY23" s="74">
        <f t="shared" si="55"/>
        <v>270.60000000000002</v>
      </c>
      <c r="BZ23" s="74">
        <f t="shared" si="55"/>
        <v>209.5</v>
      </c>
      <c r="CA23" s="74">
        <f t="shared" si="55"/>
        <v>173.79999999999998</v>
      </c>
      <c r="CB23" s="74">
        <f t="shared" si="55"/>
        <v>111.4</v>
      </c>
      <c r="CC23" s="74">
        <f t="shared" si="55"/>
        <v>235.29999999999998</v>
      </c>
      <c r="CD23" s="74">
        <f t="shared" si="55"/>
        <v>308.8</v>
      </c>
      <c r="CE23" s="74">
        <f t="shared" si="55"/>
        <v>320.7</v>
      </c>
      <c r="CF23" s="74">
        <f t="shared" si="55"/>
        <v>422.3</v>
      </c>
      <c r="CG23" s="74">
        <f t="shared" si="55"/>
        <v>338.90000000000003</v>
      </c>
      <c r="CH23" s="74">
        <f t="shared" si="55"/>
        <v>609.79999999999995</v>
      </c>
      <c r="CI23" s="74">
        <f t="shared" si="55"/>
        <v>660.4</v>
      </c>
      <c r="CJ23" s="74">
        <f t="shared" si="55"/>
        <v>762.7</v>
      </c>
      <c r="CK23" s="75">
        <v>853.9</v>
      </c>
      <c r="CL23" s="75">
        <f>SUM(CL24:CL32)</f>
        <v>1165</v>
      </c>
      <c r="CM23" s="75">
        <f>SUM(CM24:CM32)</f>
        <v>587.80000000000007</v>
      </c>
      <c r="CN23" s="36"/>
      <c r="CO23" s="66" t="s">
        <v>289</v>
      </c>
      <c r="CP23" s="42">
        <f t="shared" si="37"/>
        <v>115.62500000000003</v>
      </c>
      <c r="CQ23" s="42">
        <f t="shared" si="8"/>
        <v>954.05405405405384</v>
      </c>
      <c r="CR23" s="42">
        <f t="shared" si="8"/>
        <v>163.4560906515581</v>
      </c>
      <c r="CS23" s="42">
        <f t="shared" si="8"/>
        <v>154.93934142114384</v>
      </c>
      <c r="CT23" s="42">
        <f t="shared" si="9"/>
        <v>380.08948545861301</v>
      </c>
      <c r="CU23" s="42">
        <f t="shared" si="10"/>
        <v>32.636845203060616</v>
      </c>
      <c r="CV23" s="42">
        <f t="shared" si="11"/>
        <v>244.00360685302078</v>
      </c>
      <c r="CW23" s="42">
        <f t="shared" si="12"/>
        <v>77.420546932742056</v>
      </c>
      <c r="CX23" s="42">
        <f t="shared" si="13"/>
        <v>82.959427207637219</v>
      </c>
      <c r="CY23" s="42">
        <f t="shared" si="14"/>
        <v>64.09666283084006</v>
      </c>
      <c r="CZ23" s="42">
        <f t="shared" si="15"/>
        <v>211.22082585278275</v>
      </c>
      <c r="DA23" s="42">
        <f t="shared" si="16"/>
        <v>131.23671908202297</v>
      </c>
      <c r="DB23" s="42">
        <f t="shared" si="17"/>
        <v>103.85362694300517</v>
      </c>
      <c r="DC23" s="42">
        <f t="shared" si="18"/>
        <v>131.68069847209233</v>
      </c>
      <c r="DD23" s="42">
        <f t="shared" si="19"/>
        <v>80.251006393559095</v>
      </c>
      <c r="DE23" s="42">
        <f t="shared" si="20"/>
        <v>179.9350840956034</v>
      </c>
      <c r="DF23" s="42">
        <f t="shared" si="20"/>
        <v>108.29780255821582</v>
      </c>
      <c r="DG23" s="42">
        <f t="shared" si="20"/>
        <v>115.49061175045428</v>
      </c>
      <c r="DH23" s="42">
        <f t="shared" si="30"/>
        <v>111.95751933918972</v>
      </c>
      <c r="DI23" s="42">
        <f t="shared" si="30"/>
        <v>136.43283756880197</v>
      </c>
      <c r="DJ23" s="42">
        <f t="shared" si="38"/>
        <v>50.454935622317599</v>
      </c>
    </row>
    <row r="24" spans="1:114" x14ac:dyDescent="0.2">
      <c r="A24" s="21"/>
      <c r="B24" s="21" t="s">
        <v>37</v>
      </c>
      <c r="C24" s="21" t="s">
        <v>15</v>
      </c>
      <c r="D24" s="21">
        <v>1.9</v>
      </c>
      <c r="E24" s="21">
        <v>3.1</v>
      </c>
      <c r="F24" s="21">
        <v>3.4</v>
      </c>
      <c r="G24" s="21">
        <v>4</v>
      </c>
      <c r="H24" s="21">
        <v>4</v>
      </c>
      <c r="I24" s="21">
        <v>2.9</v>
      </c>
      <c r="J24" s="21">
        <v>5.3</v>
      </c>
      <c r="K24" s="21">
        <v>32.799999999999997</v>
      </c>
      <c r="L24" s="21">
        <v>34.5</v>
      </c>
      <c r="M24" s="21">
        <v>756.9</v>
      </c>
      <c r="N24" s="24">
        <f t="shared" si="43"/>
        <v>1438.11</v>
      </c>
      <c r="O24" s="21">
        <f t="shared" si="44"/>
        <v>2346.39</v>
      </c>
      <c r="P24" s="21">
        <f t="shared" si="45"/>
        <v>2573.46</v>
      </c>
      <c r="Q24" s="23">
        <f t="shared" si="33"/>
        <v>3027.6</v>
      </c>
      <c r="R24" s="21">
        <f t="shared" si="46"/>
        <v>3027.6</v>
      </c>
      <c r="S24" s="21">
        <f t="shared" si="47"/>
        <v>2195.0099999999998</v>
      </c>
      <c r="T24" s="21">
        <f t="shared" si="48"/>
        <v>4011.5699999999997</v>
      </c>
      <c r="U24" s="21">
        <f t="shared" si="49"/>
        <v>24826.319999999996</v>
      </c>
      <c r="V24" s="21">
        <f t="shared" si="50"/>
        <v>26113.05</v>
      </c>
      <c r="Y24">
        <v>8</v>
      </c>
      <c r="Z24" s="1" t="s">
        <v>220</v>
      </c>
      <c r="AA24" s="19"/>
      <c r="AB24" s="19"/>
      <c r="AC24" s="19"/>
      <c r="AD24" s="19"/>
      <c r="AE24" s="19"/>
      <c r="AF24" s="19"/>
      <c r="AG24" s="19"/>
      <c r="AH24" s="19"/>
      <c r="AI24" s="19"/>
      <c r="AK24">
        <v>8</v>
      </c>
      <c r="AL24" s="1" t="s">
        <v>220</v>
      </c>
      <c r="AM24" s="1"/>
      <c r="AN24" s="1"/>
      <c r="AO24" s="1"/>
      <c r="AP24" s="1"/>
      <c r="AQ24" s="1"/>
      <c r="AR24" s="1"/>
      <c r="AS24" s="21"/>
      <c r="AT24" s="21"/>
      <c r="AU24" s="21"/>
      <c r="AV24" s="21"/>
      <c r="AW24" s="21"/>
      <c r="AX24" s="21"/>
      <c r="AY24" s="21"/>
      <c r="AZ24" s="21"/>
      <c r="BA24" s="21"/>
      <c r="BB24" s="19"/>
      <c r="BC24" s="19"/>
      <c r="BD24" s="19"/>
      <c r="BE24" s="1"/>
      <c r="BG24" s="1"/>
      <c r="BI24">
        <f t="shared" si="3"/>
        <v>0</v>
      </c>
      <c r="BJ24" s="42" t="e">
        <f t="shared" si="4"/>
        <v>#DIV/0!</v>
      </c>
      <c r="BP24" s="76"/>
      <c r="BQ24" s="65" t="s">
        <v>290</v>
      </c>
      <c r="BR24" s="74">
        <f>2.3-1.5</f>
        <v>0.79999999999999982</v>
      </c>
      <c r="BS24" s="74">
        <f>1.6-1.1</f>
        <v>0.5</v>
      </c>
      <c r="BT24" s="74">
        <f>16.4-11.2</f>
        <v>5.1999999999999993</v>
      </c>
      <c r="BU24" s="74">
        <f>32-20.4</f>
        <v>11.600000000000001</v>
      </c>
      <c r="BV24" s="74">
        <f>54-32.8</f>
        <v>21.200000000000003</v>
      </c>
      <c r="BW24" s="74">
        <f>67.5-39.7</f>
        <v>27.799999999999997</v>
      </c>
      <c r="BX24" s="74">
        <f>4.4-1.8-0.2-0.8-0.1</f>
        <v>1.5000000000000002</v>
      </c>
      <c r="BY24" s="74"/>
      <c r="BZ24" s="74">
        <f>0.9-0.6</f>
        <v>0.30000000000000004</v>
      </c>
      <c r="CA24" s="74">
        <f>6.9-0.8</f>
        <v>6.1000000000000005</v>
      </c>
      <c r="CB24" s="74">
        <v>0.9</v>
      </c>
      <c r="CC24" s="74">
        <f>11.8-6.1</f>
        <v>5.7000000000000011</v>
      </c>
      <c r="CD24" s="74">
        <v>3.1</v>
      </c>
      <c r="CE24" s="74">
        <v>3.4</v>
      </c>
      <c r="CF24" s="74">
        <v>3</v>
      </c>
      <c r="CG24" s="74">
        <v>3.4</v>
      </c>
      <c r="CH24" s="74">
        <v>6.9</v>
      </c>
      <c r="CI24" s="74">
        <v>3.9</v>
      </c>
      <c r="CJ24" s="74">
        <v>4.5999999999999996</v>
      </c>
      <c r="CK24" s="76">
        <v>11.6</v>
      </c>
      <c r="CL24" s="75">
        <v>18.8</v>
      </c>
      <c r="CM24" s="75">
        <v>6.1</v>
      </c>
      <c r="CN24" s="36"/>
      <c r="CO24" s="65" t="s">
        <v>290</v>
      </c>
      <c r="CP24" s="42">
        <f t="shared" si="37"/>
        <v>62.500000000000014</v>
      </c>
      <c r="CQ24" s="42">
        <f t="shared" si="8"/>
        <v>1039.9999999999998</v>
      </c>
      <c r="CR24" s="42">
        <f t="shared" si="8"/>
        <v>223.07692307692312</v>
      </c>
      <c r="CS24" s="42">
        <f t="shared" si="8"/>
        <v>182.75862068965517</v>
      </c>
      <c r="CT24" s="42">
        <f t="shared" si="9"/>
        <v>131.13207547169807</v>
      </c>
      <c r="CU24" s="42">
        <f t="shared" si="10"/>
        <v>5.3956834532374112</v>
      </c>
      <c r="CV24" s="42">
        <f t="shared" si="11"/>
        <v>0</v>
      </c>
      <c r="CW24" s="42"/>
      <c r="CX24" s="42">
        <f t="shared" si="13"/>
        <v>2033.3333333333333</v>
      </c>
      <c r="CY24" s="42">
        <f t="shared" si="14"/>
        <v>14.754098360655737</v>
      </c>
      <c r="CZ24" s="42">
        <f t="shared" si="15"/>
        <v>633.33333333333337</v>
      </c>
      <c r="DA24" s="42">
        <f t="shared" si="16"/>
        <v>54.385964912280691</v>
      </c>
      <c r="DB24" s="42">
        <f t="shared" si="17"/>
        <v>109.6774193548387</v>
      </c>
      <c r="DC24" s="42">
        <f t="shared" si="18"/>
        <v>88.235294117647058</v>
      </c>
      <c r="DD24" s="42">
        <f t="shared" si="19"/>
        <v>113.33333333333333</v>
      </c>
      <c r="DE24" s="42">
        <f t="shared" si="20"/>
        <v>202.94117647058826</v>
      </c>
      <c r="DF24" s="42">
        <f t="shared" si="20"/>
        <v>56.521739130434781</v>
      </c>
      <c r="DG24" s="42">
        <f t="shared" si="20"/>
        <v>117.94871794871796</v>
      </c>
      <c r="DH24" s="42">
        <f t="shared" si="30"/>
        <v>252.17391304347828</v>
      </c>
      <c r="DI24" s="42">
        <f t="shared" si="30"/>
        <v>162.06896551724139</v>
      </c>
      <c r="DJ24" s="42">
        <f t="shared" si="38"/>
        <v>32.446808510638299</v>
      </c>
    </row>
    <row r="25" spans="1:114" x14ac:dyDescent="0.2">
      <c r="A25" s="21"/>
      <c r="B25" s="21" t="s">
        <v>28</v>
      </c>
      <c r="C25" s="21" t="s">
        <v>15</v>
      </c>
      <c r="D25" s="21">
        <v>0.6</v>
      </c>
      <c r="E25" s="21">
        <v>0.5</v>
      </c>
      <c r="F25" s="21">
        <v>0.1</v>
      </c>
      <c r="G25" s="21">
        <v>0.3</v>
      </c>
      <c r="H25" s="21">
        <v>0.2</v>
      </c>
      <c r="I25" s="21">
        <v>0.3</v>
      </c>
      <c r="J25" s="21"/>
      <c r="K25" s="21"/>
      <c r="L25" s="21"/>
      <c r="M25" s="21">
        <v>536.6</v>
      </c>
      <c r="N25" s="24">
        <f t="shared" si="43"/>
        <v>321.95999999999998</v>
      </c>
      <c r="O25" s="21">
        <f t="shared" si="44"/>
        <v>268.3</v>
      </c>
      <c r="P25" s="21">
        <f t="shared" si="45"/>
        <v>53.660000000000004</v>
      </c>
      <c r="Q25" s="23">
        <f t="shared" si="33"/>
        <v>160.97999999999999</v>
      </c>
      <c r="R25" s="21">
        <f t="shared" si="46"/>
        <v>107.32000000000001</v>
      </c>
      <c r="S25" s="21">
        <f t="shared" si="47"/>
        <v>160.97999999999999</v>
      </c>
      <c r="T25" s="21">
        <f t="shared" si="48"/>
        <v>0</v>
      </c>
      <c r="U25" s="21">
        <f t="shared" si="49"/>
        <v>0</v>
      </c>
      <c r="V25" s="21">
        <f t="shared" si="50"/>
        <v>0</v>
      </c>
      <c r="Z25" s="1" t="s">
        <v>213</v>
      </c>
      <c r="AA25" s="19">
        <f t="shared" ref="AA25:AI25" si="56">N43+N46+N70+N71+N72+N131+N41+N100</f>
        <v>3877.16</v>
      </c>
      <c r="AB25" s="19">
        <f t="shared" si="56"/>
        <v>48156.619999999995</v>
      </c>
      <c r="AC25" s="19">
        <f t="shared" si="56"/>
        <v>10895.8</v>
      </c>
      <c r="AD25" s="19">
        <f t="shared" si="56"/>
        <v>5390.64</v>
      </c>
      <c r="AE25" s="19">
        <f t="shared" si="56"/>
        <v>3470.14</v>
      </c>
      <c r="AF25" s="19">
        <f t="shared" si="56"/>
        <v>2023.64</v>
      </c>
      <c r="AG25" s="19">
        <f t="shared" si="56"/>
        <v>7.88</v>
      </c>
      <c r="AH25" s="19">
        <f t="shared" si="56"/>
        <v>26224</v>
      </c>
      <c r="AI25" s="19">
        <f t="shared" si="56"/>
        <v>44805</v>
      </c>
      <c r="AL25" s="1" t="s">
        <v>213</v>
      </c>
      <c r="AM25" s="1">
        <v>0.2</v>
      </c>
      <c r="AN25" s="1">
        <v>0.8</v>
      </c>
      <c r="AO25" s="1">
        <v>1.5</v>
      </c>
      <c r="AP25" s="1">
        <v>1.6</v>
      </c>
      <c r="AQ25" s="1">
        <v>1.6</v>
      </c>
      <c r="AR25" s="1">
        <v>1.4</v>
      </c>
      <c r="AS25" s="21">
        <v>3.9</v>
      </c>
      <c r="AT25" s="21">
        <v>48.1</v>
      </c>
      <c r="AU25" s="21">
        <v>10.9</v>
      </c>
      <c r="AV25" s="21">
        <v>5.4</v>
      </c>
      <c r="AW25" s="21">
        <v>35.799999999999997</v>
      </c>
      <c r="AX25" s="21">
        <v>25.6</v>
      </c>
      <c r="AY25" s="21">
        <v>7.8</v>
      </c>
      <c r="AZ25" s="21">
        <v>26</v>
      </c>
      <c r="BA25" s="21">
        <v>44.8</v>
      </c>
      <c r="BB25" s="19">
        <v>24.6</v>
      </c>
      <c r="BC25" s="19">
        <v>52.5</v>
      </c>
      <c r="BD25" s="19">
        <v>43.7</v>
      </c>
      <c r="BE25" s="1">
        <v>55.4</v>
      </c>
      <c r="BF25" s="19">
        <v>39.200000000000003</v>
      </c>
      <c r="BG25" s="19">
        <v>39.200000000000003</v>
      </c>
      <c r="BH25" s="19">
        <v>0</v>
      </c>
      <c r="BI25">
        <f t="shared" si="3"/>
        <v>0</v>
      </c>
      <c r="BJ25" s="42">
        <f t="shared" si="4"/>
        <v>100</v>
      </c>
      <c r="BP25" s="76"/>
      <c r="BQ25" s="65" t="s">
        <v>291</v>
      </c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6"/>
      <c r="CL25" s="75"/>
      <c r="CM25" s="75"/>
      <c r="CN25" s="36"/>
      <c r="CO25" s="65" t="s">
        <v>291</v>
      </c>
      <c r="CP25" s="42"/>
      <c r="CQ25" s="7"/>
      <c r="CR25" s="42"/>
      <c r="CS25" s="42"/>
      <c r="CT25" s="7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J25" s="42"/>
    </row>
    <row r="26" spans="1:114" x14ac:dyDescent="0.2">
      <c r="A26" s="21"/>
      <c r="B26" s="21" t="s">
        <v>27</v>
      </c>
      <c r="C26" s="21" t="s">
        <v>36</v>
      </c>
      <c r="D26" s="21">
        <v>111.2</v>
      </c>
      <c r="E26" s="21">
        <v>133.6</v>
      </c>
      <c r="F26" s="21">
        <v>86.3</v>
      </c>
      <c r="G26" s="21">
        <v>287.10000000000002</v>
      </c>
      <c r="H26" s="21">
        <v>117.7</v>
      </c>
      <c r="I26" s="21">
        <v>83.3</v>
      </c>
      <c r="J26" s="21"/>
      <c r="K26" s="21">
        <v>30.1</v>
      </c>
      <c r="L26" s="21"/>
      <c r="M26" s="21">
        <v>26.1</v>
      </c>
      <c r="N26" s="24">
        <f t="shared" si="43"/>
        <v>2902.32</v>
      </c>
      <c r="O26" s="21">
        <f t="shared" si="44"/>
        <v>3486.96</v>
      </c>
      <c r="P26" s="21">
        <f t="shared" si="45"/>
        <v>2252.4299999999998</v>
      </c>
      <c r="Q26" s="23">
        <f t="shared" si="33"/>
        <v>7493.3100000000013</v>
      </c>
      <c r="R26" s="21">
        <f t="shared" si="46"/>
        <v>3071.9700000000003</v>
      </c>
      <c r="S26" s="21">
        <f t="shared" si="47"/>
        <v>2174.13</v>
      </c>
      <c r="T26" s="21">
        <f t="shared" si="48"/>
        <v>0</v>
      </c>
      <c r="U26" s="21">
        <f t="shared" si="49"/>
        <v>785.61000000000013</v>
      </c>
      <c r="V26" s="21">
        <f t="shared" si="50"/>
        <v>0</v>
      </c>
      <c r="Y26">
        <v>9</v>
      </c>
      <c r="Z26" s="1" t="s">
        <v>52</v>
      </c>
      <c r="AA26" s="19"/>
      <c r="AB26" s="19"/>
      <c r="AC26" s="19"/>
      <c r="AD26" s="19"/>
      <c r="AE26" s="19"/>
      <c r="AF26" s="19"/>
      <c r="AG26" s="19"/>
      <c r="AH26" s="19"/>
      <c r="AI26" s="19"/>
      <c r="AK26">
        <v>9</v>
      </c>
      <c r="AL26" s="1" t="s">
        <v>52</v>
      </c>
      <c r="AM26" s="1">
        <v>0</v>
      </c>
      <c r="AN26" s="1">
        <v>0</v>
      </c>
      <c r="AO26" s="1">
        <v>5.8</v>
      </c>
      <c r="AP26" s="1">
        <v>17</v>
      </c>
      <c r="AQ26" s="1">
        <v>27</v>
      </c>
      <c r="AR26" s="1">
        <v>265.60000000000002</v>
      </c>
      <c r="AS26" s="21"/>
      <c r="AT26" s="21"/>
      <c r="AU26" s="21"/>
      <c r="AV26" s="21"/>
      <c r="AW26" s="21"/>
      <c r="AX26" s="21"/>
      <c r="AY26" s="21"/>
      <c r="AZ26" s="21"/>
      <c r="BA26" s="21"/>
      <c r="BB26" s="19"/>
      <c r="BC26" s="19"/>
      <c r="BD26" s="19"/>
      <c r="BE26" s="1"/>
      <c r="BG26" s="1"/>
      <c r="BI26">
        <f t="shared" si="3"/>
        <v>0</v>
      </c>
      <c r="BJ26" s="42" t="e">
        <f t="shared" si="4"/>
        <v>#DIV/0!</v>
      </c>
      <c r="BP26" s="76"/>
      <c r="BQ26" s="65" t="s">
        <v>292</v>
      </c>
      <c r="BR26" s="74">
        <v>0.2</v>
      </c>
      <c r="BS26" s="74">
        <v>0.8</v>
      </c>
      <c r="BT26" s="74">
        <v>1.5</v>
      </c>
      <c r="BU26" s="74">
        <v>1.6</v>
      </c>
      <c r="BV26" s="74">
        <v>1.6</v>
      </c>
      <c r="BW26" s="74">
        <v>1.4</v>
      </c>
      <c r="BX26" s="74">
        <v>3.9</v>
      </c>
      <c r="BY26" s="74">
        <v>48.1</v>
      </c>
      <c r="BZ26" s="74">
        <v>10.9</v>
      </c>
      <c r="CA26" s="74">
        <v>5.4</v>
      </c>
      <c r="CB26" s="74">
        <v>35.799999999999997</v>
      </c>
      <c r="CC26" s="74">
        <v>25.6</v>
      </c>
      <c r="CD26" s="74">
        <v>9.3000000000000007</v>
      </c>
      <c r="CE26" s="74">
        <v>26.2</v>
      </c>
      <c r="CF26" s="74">
        <v>44.8</v>
      </c>
      <c r="CG26" s="74">
        <v>24.6</v>
      </c>
      <c r="CH26" s="74">
        <v>52.5</v>
      </c>
      <c r="CI26" s="74">
        <v>43.7</v>
      </c>
      <c r="CJ26" s="74">
        <v>55.4</v>
      </c>
      <c r="CK26" s="75">
        <v>39.200000000000003</v>
      </c>
      <c r="CL26" s="75">
        <v>39.200000000000003</v>
      </c>
      <c r="CM26" s="75">
        <v>28</v>
      </c>
      <c r="CN26" s="36"/>
      <c r="CO26" s="65" t="s">
        <v>292</v>
      </c>
      <c r="CP26" s="42">
        <f t="shared" si="37"/>
        <v>400</v>
      </c>
      <c r="CQ26" s="7">
        <f t="shared" si="37"/>
        <v>187.5</v>
      </c>
      <c r="CR26" s="42">
        <f t="shared" si="37"/>
        <v>106.66666666666667</v>
      </c>
      <c r="CS26" s="42">
        <f t="shared" si="37"/>
        <v>100</v>
      </c>
      <c r="CT26" s="7">
        <f t="shared" si="9"/>
        <v>87.499999999999986</v>
      </c>
      <c r="CU26" s="42">
        <f t="shared" si="10"/>
        <v>278.57142857142861</v>
      </c>
      <c r="CV26" s="42">
        <f t="shared" si="11"/>
        <v>1233.3333333333335</v>
      </c>
      <c r="CW26" s="42">
        <f t="shared" si="12"/>
        <v>22.661122661122661</v>
      </c>
      <c r="CX26" s="42">
        <f t="shared" si="13"/>
        <v>49.541284403669728</v>
      </c>
      <c r="CY26" s="42">
        <f t="shared" si="14"/>
        <v>662.96296296296293</v>
      </c>
      <c r="CZ26" s="42">
        <f t="shared" si="15"/>
        <v>71.508379888268166</v>
      </c>
      <c r="DA26" s="42">
        <f t="shared" si="16"/>
        <v>36.328125</v>
      </c>
      <c r="DB26" s="42">
        <f t="shared" si="17"/>
        <v>281.72043010752685</v>
      </c>
      <c r="DC26" s="42">
        <f t="shared" si="18"/>
        <v>170.99236641221373</v>
      </c>
      <c r="DD26" s="42">
        <f t="shared" si="19"/>
        <v>54.910714285714292</v>
      </c>
      <c r="DE26" s="42">
        <f t="shared" si="20"/>
        <v>213.41463414634143</v>
      </c>
      <c r="DF26" s="42">
        <f t="shared" si="20"/>
        <v>83.238095238095241</v>
      </c>
      <c r="DG26" s="42">
        <f t="shared" si="20"/>
        <v>126.77345537757436</v>
      </c>
      <c r="DH26" s="42">
        <f t="shared" si="30"/>
        <v>70.758122743682321</v>
      </c>
      <c r="DI26" s="42">
        <f t="shared" si="30"/>
        <v>100</v>
      </c>
      <c r="DJ26" s="42">
        <f>CM26/CL26*100</f>
        <v>71.428571428571416</v>
      </c>
    </row>
    <row r="27" spans="1:114" x14ac:dyDescent="0.2">
      <c r="A27" s="21"/>
      <c r="B27" s="21" t="s">
        <v>94</v>
      </c>
      <c r="C27" s="21" t="s">
        <v>9</v>
      </c>
      <c r="D27" s="21">
        <v>0.2</v>
      </c>
      <c r="E27" s="21">
        <v>12.9</v>
      </c>
      <c r="F27" s="21"/>
      <c r="G27" s="21"/>
      <c r="H27" s="21">
        <v>0.8</v>
      </c>
      <c r="I27" s="21">
        <v>3.4</v>
      </c>
      <c r="J27" s="21">
        <v>6.4</v>
      </c>
      <c r="K27" s="21">
        <v>2.2000000000000002</v>
      </c>
      <c r="L27" s="21">
        <v>2.6</v>
      </c>
      <c r="M27" s="21">
        <v>192.4</v>
      </c>
      <c r="N27" s="24">
        <f t="shared" si="43"/>
        <v>38.480000000000004</v>
      </c>
      <c r="O27" s="21">
        <f t="shared" si="44"/>
        <v>2481.96</v>
      </c>
      <c r="P27" s="21">
        <f t="shared" si="45"/>
        <v>0</v>
      </c>
      <c r="Q27" s="23">
        <f t="shared" si="33"/>
        <v>0</v>
      </c>
      <c r="R27" s="21">
        <f t="shared" si="46"/>
        <v>153.92000000000002</v>
      </c>
      <c r="S27" s="21">
        <f t="shared" si="47"/>
        <v>654.16</v>
      </c>
      <c r="T27" s="21">
        <f t="shared" si="48"/>
        <v>1231.3600000000001</v>
      </c>
      <c r="U27" s="21">
        <f t="shared" si="49"/>
        <v>423.28000000000003</v>
      </c>
      <c r="V27" s="21">
        <f t="shared" si="50"/>
        <v>500.24</v>
      </c>
      <c r="Y27">
        <v>10</v>
      </c>
      <c r="Z27" s="1" t="s">
        <v>221</v>
      </c>
      <c r="AA27" s="19"/>
      <c r="AB27" s="19"/>
      <c r="AC27" s="19"/>
      <c r="AD27" s="19"/>
      <c r="AE27" s="19"/>
      <c r="AF27" s="19"/>
      <c r="AG27" s="19"/>
      <c r="AH27" s="19"/>
      <c r="AI27" s="19"/>
      <c r="AK27">
        <v>10</v>
      </c>
      <c r="AL27" s="1" t="s">
        <v>221</v>
      </c>
      <c r="AM27" s="1"/>
      <c r="AN27" s="1"/>
      <c r="AO27" s="1"/>
      <c r="AP27" s="1"/>
      <c r="AQ27" s="1"/>
      <c r="AR27" s="1"/>
      <c r="AS27" s="21"/>
      <c r="AT27" s="21"/>
      <c r="AU27" s="21"/>
      <c r="AV27" s="21"/>
      <c r="AW27" s="21"/>
      <c r="AX27" s="21"/>
      <c r="AY27" s="21"/>
      <c r="AZ27" s="21"/>
      <c r="BA27" s="21"/>
      <c r="BB27" s="19"/>
      <c r="BC27" s="19"/>
      <c r="BD27" s="19"/>
      <c r="BE27" s="1"/>
      <c r="BG27" s="1"/>
      <c r="BI27">
        <f t="shared" si="3"/>
        <v>0</v>
      </c>
      <c r="BJ27" s="42" t="e">
        <f t="shared" si="4"/>
        <v>#DIV/0!</v>
      </c>
      <c r="BP27" s="76"/>
      <c r="BQ27" s="65" t="s">
        <v>293</v>
      </c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6"/>
      <c r="CL27" s="76"/>
      <c r="CM27" s="76"/>
      <c r="CN27" s="36"/>
      <c r="CO27" s="65" t="s">
        <v>293</v>
      </c>
      <c r="CP27" s="42"/>
      <c r="CQ27" s="7"/>
      <c r="CR27" s="42"/>
      <c r="CS27" s="42"/>
      <c r="CT27" s="7"/>
      <c r="CU27" s="7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J27" s="42"/>
    </row>
    <row r="28" spans="1:114" x14ac:dyDescent="0.2">
      <c r="A28" s="21"/>
      <c r="B28" s="21" t="s">
        <v>11</v>
      </c>
      <c r="C28" s="21" t="s">
        <v>9</v>
      </c>
      <c r="D28" s="21">
        <v>9.9</v>
      </c>
      <c r="E28" s="21">
        <v>12.9</v>
      </c>
      <c r="F28" s="21">
        <v>16.2</v>
      </c>
      <c r="G28" s="21">
        <v>17.3</v>
      </c>
      <c r="H28" s="21">
        <v>9.9</v>
      </c>
      <c r="I28" s="21">
        <v>6.6</v>
      </c>
      <c r="J28" s="21">
        <v>5.8</v>
      </c>
      <c r="K28" s="21">
        <v>76</v>
      </c>
      <c r="L28" s="21">
        <v>38</v>
      </c>
      <c r="M28" s="21">
        <v>444.3</v>
      </c>
      <c r="N28" s="24">
        <f t="shared" si="43"/>
        <v>4398.5700000000006</v>
      </c>
      <c r="O28" s="21">
        <f t="shared" si="44"/>
        <v>5731.47</v>
      </c>
      <c r="P28" s="21">
        <f t="shared" si="45"/>
        <v>7197.66</v>
      </c>
      <c r="Q28" s="23">
        <f t="shared" si="33"/>
        <v>7686.39</v>
      </c>
      <c r="R28" s="21">
        <f t="shared" si="46"/>
        <v>4398.5700000000006</v>
      </c>
      <c r="S28" s="21">
        <f t="shared" si="47"/>
        <v>2932.38</v>
      </c>
      <c r="T28" s="21">
        <f t="shared" si="48"/>
        <v>2576.94</v>
      </c>
      <c r="U28" s="21">
        <f t="shared" si="49"/>
        <v>33766.800000000003</v>
      </c>
      <c r="V28" s="21">
        <f t="shared" si="50"/>
        <v>16883.400000000001</v>
      </c>
      <c r="Z28" s="1" t="s">
        <v>222</v>
      </c>
      <c r="AA28" s="19">
        <f t="shared" ref="AA28:AI28" si="57">N34+N35+N32+N37+N44+N47+N66+N67+N68+N75+N77+N146+N147+N148+N149+N165+N184+N185+N186+N187+N76+N134</f>
        <v>102650</v>
      </c>
      <c r="AB28" s="19">
        <f t="shared" si="57"/>
        <v>209512.5</v>
      </c>
      <c r="AC28" s="19">
        <f t="shared" si="57"/>
        <v>195296.5</v>
      </c>
      <c r="AD28" s="19">
        <f t="shared" si="57"/>
        <v>145519.26</v>
      </c>
      <c r="AE28" s="19">
        <f t="shared" si="57"/>
        <v>63266.55</v>
      </c>
      <c r="AF28" s="19">
        <f t="shared" si="57"/>
        <v>179513.15</v>
      </c>
      <c r="AG28" s="19">
        <f t="shared" si="57"/>
        <v>278186.59999999992</v>
      </c>
      <c r="AH28" s="19">
        <f t="shared" si="57"/>
        <v>205202.27</v>
      </c>
      <c r="AI28" s="19">
        <f t="shared" si="57"/>
        <v>210151.96</v>
      </c>
      <c r="AL28" s="1" t="s">
        <v>222</v>
      </c>
      <c r="AM28" s="1"/>
      <c r="AN28" s="1">
        <v>0.7</v>
      </c>
      <c r="AO28" s="1">
        <v>5.2</v>
      </c>
      <c r="AP28" s="1">
        <v>7</v>
      </c>
      <c r="AQ28" s="1">
        <v>6.4</v>
      </c>
      <c r="AR28" s="1">
        <v>4.5999999999999996</v>
      </c>
      <c r="AS28" s="21">
        <v>102.6</v>
      </c>
      <c r="AT28" s="21">
        <v>209.8</v>
      </c>
      <c r="AU28" s="21">
        <v>195.2</v>
      </c>
      <c r="AV28" s="21">
        <v>145.5</v>
      </c>
      <c r="AW28" s="21">
        <v>44.7</v>
      </c>
      <c r="AX28" s="21">
        <v>176.7</v>
      </c>
      <c r="AY28" s="21">
        <v>214.8</v>
      </c>
      <c r="AZ28" s="21">
        <v>182.5</v>
      </c>
      <c r="BA28" s="21">
        <v>264.8</v>
      </c>
      <c r="BB28" s="19">
        <v>222.3</v>
      </c>
      <c r="BC28" s="19">
        <v>267.8</v>
      </c>
      <c r="BD28" s="19">
        <v>271.39999999999998</v>
      </c>
      <c r="BE28" s="1">
        <v>298.39999999999998</v>
      </c>
      <c r="BF28">
        <f>43.1+128.8+124.9</f>
        <v>296.8</v>
      </c>
      <c r="BG28" s="19">
        <v>189.2</v>
      </c>
      <c r="BI28">
        <f t="shared" si="3"/>
        <v>0</v>
      </c>
      <c r="BJ28" s="42">
        <f t="shared" si="4"/>
        <v>63.746630727762799</v>
      </c>
      <c r="BP28" s="76"/>
      <c r="BQ28" s="65" t="s">
        <v>292</v>
      </c>
      <c r="BR28" s="74">
        <v>0.7</v>
      </c>
      <c r="BS28" s="74">
        <v>0.1</v>
      </c>
      <c r="BT28" s="74">
        <v>6.4</v>
      </c>
      <c r="BU28" s="74">
        <v>0.1</v>
      </c>
      <c r="BV28" s="74">
        <v>0.4</v>
      </c>
      <c r="BW28" s="74">
        <v>0.7</v>
      </c>
      <c r="BX28" s="74"/>
      <c r="BY28" s="74">
        <v>12.7</v>
      </c>
      <c r="BZ28" s="74">
        <v>2.5</v>
      </c>
      <c r="CA28" s="74">
        <v>15.8</v>
      </c>
      <c r="CB28" s="74">
        <v>12.8</v>
      </c>
      <c r="CC28" s="74">
        <v>21.2</v>
      </c>
      <c r="CD28" s="74">
        <v>40.200000000000003</v>
      </c>
      <c r="CE28" s="74">
        <v>76.8</v>
      </c>
      <c r="CF28" s="74">
        <v>154.30000000000001</v>
      </c>
      <c r="CG28" s="74">
        <v>59.4</v>
      </c>
      <c r="CH28" s="74">
        <v>282.5</v>
      </c>
      <c r="CI28" s="74">
        <v>341.4</v>
      </c>
      <c r="CJ28" s="74">
        <v>404.3</v>
      </c>
      <c r="CK28" s="75">
        <v>506.3</v>
      </c>
      <c r="CL28" s="75">
        <v>831.9</v>
      </c>
      <c r="CM28" s="75">
        <v>335</v>
      </c>
      <c r="CN28" s="36"/>
      <c r="CO28" s="65" t="s">
        <v>292</v>
      </c>
      <c r="CP28" s="42">
        <f t="shared" si="37"/>
        <v>14.285714285714288</v>
      </c>
      <c r="CQ28" s="42">
        <f t="shared" si="37"/>
        <v>6400</v>
      </c>
      <c r="CR28" s="42">
        <f t="shared" si="37"/>
        <v>1.5625</v>
      </c>
      <c r="CS28" s="42">
        <f t="shared" si="37"/>
        <v>400</v>
      </c>
      <c r="CT28" s="7">
        <f t="shared" si="9"/>
        <v>174.99999999999997</v>
      </c>
      <c r="CU28" s="7">
        <f t="shared" si="10"/>
        <v>0</v>
      </c>
      <c r="CV28" s="42"/>
      <c r="CW28" s="42">
        <f t="shared" si="12"/>
        <v>19.685039370078741</v>
      </c>
      <c r="CX28" s="42">
        <f t="shared" si="13"/>
        <v>632</v>
      </c>
      <c r="CY28" s="42">
        <f t="shared" si="14"/>
        <v>81.012658227848107</v>
      </c>
      <c r="CZ28" s="42">
        <f t="shared" si="15"/>
        <v>165.62499999999997</v>
      </c>
      <c r="DA28" s="42">
        <f t="shared" si="16"/>
        <v>189.62264150943398</v>
      </c>
      <c r="DB28" s="42">
        <f t="shared" si="17"/>
        <v>191.04477611940297</v>
      </c>
      <c r="DC28" s="42">
        <f t="shared" si="18"/>
        <v>200.91145833333334</v>
      </c>
      <c r="DD28" s="42">
        <f t="shared" si="19"/>
        <v>38.496435515230068</v>
      </c>
      <c r="DE28" s="42">
        <f t="shared" si="20"/>
        <v>475.58922558922563</v>
      </c>
      <c r="DF28" s="42">
        <f t="shared" si="20"/>
        <v>120.8495575221239</v>
      </c>
      <c r="DG28" s="42">
        <f t="shared" si="20"/>
        <v>118.4241359109549</v>
      </c>
      <c r="DH28" s="42">
        <f t="shared" si="30"/>
        <v>125.2287905021024</v>
      </c>
      <c r="DI28" s="42">
        <f t="shared" si="30"/>
        <v>164.30969780762393</v>
      </c>
      <c r="DJ28" s="42">
        <f>CM28/CL28*100</f>
        <v>40.269263132588051</v>
      </c>
    </row>
    <row r="29" spans="1:114" x14ac:dyDescent="0.2">
      <c r="A29" s="21"/>
      <c r="B29" s="21" t="s">
        <v>139</v>
      </c>
      <c r="C29" s="21"/>
      <c r="D29" s="21">
        <v>0</v>
      </c>
      <c r="E29" s="21"/>
      <c r="F29" s="21"/>
      <c r="G29" s="21"/>
      <c r="H29" s="21"/>
      <c r="I29" s="21"/>
      <c r="J29" s="21">
        <v>3.4</v>
      </c>
      <c r="K29" s="21">
        <v>52.5</v>
      </c>
      <c r="L29" s="21">
        <v>51.4</v>
      </c>
      <c r="M29" s="21">
        <v>150</v>
      </c>
      <c r="N29" s="24">
        <f t="shared" si="43"/>
        <v>0</v>
      </c>
      <c r="O29" s="21">
        <f t="shared" si="44"/>
        <v>0</v>
      </c>
      <c r="P29" s="21">
        <f t="shared" si="45"/>
        <v>0</v>
      </c>
      <c r="Q29" s="23">
        <f t="shared" si="33"/>
        <v>0</v>
      </c>
      <c r="R29" s="21">
        <f t="shared" si="46"/>
        <v>0</v>
      </c>
      <c r="S29" s="21">
        <f t="shared" si="47"/>
        <v>0</v>
      </c>
      <c r="T29" s="21">
        <f t="shared" si="48"/>
        <v>510</v>
      </c>
      <c r="U29" s="21">
        <f t="shared" si="49"/>
        <v>7875</v>
      </c>
      <c r="V29" s="21">
        <f t="shared" si="50"/>
        <v>7710</v>
      </c>
      <c r="Y29">
        <v>11</v>
      </c>
      <c r="Z29" s="1" t="s">
        <v>53</v>
      </c>
      <c r="AA29" s="19">
        <f t="shared" ref="AA29:AI29" si="58">N69+N126</f>
        <v>31500.690000000002</v>
      </c>
      <c r="AB29" s="19">
        <f t="shared" si="58"/>
        <v>35003.020000000004</v>
      </c>
      <c r="AC29" s="19">
        <f t="shared" si="58"/>
        <v>58976.060000000005</v>
      </c>
      <c r="AD29" s="19">
        <f t="shared" si="58"/>
        <v>62051.600000000006</v>
      </c>
      <c r="AE29" s="19">
        <f t="shared" si="58"/>
        <v>58903.26</v>
      </c>
      <c r="AF29" s="19">
        <f t="shared" si="58"/>
        <v>65829.66</v>
      </c>
      <c r="AG29" s="19">
        <f t="shared" si="58"/>
        <v>60995.61</v>
      </c>
      <c r="AH29" s="19">
        <f t="shared" si="58"/>
        <v>63751.740000000005</v>
      </c>
      <c r="AI29" s="19">
        <f t="shared" si="58"/>
        <v>71846.97</v>
      </c>
      <c r="AK29">
        <v>11</v>
      </c>
      <c r="AL29" s="1" t="s">
        <v>53</v>
      </c>
      <c r="AM29" s="1"/>
      <c r="AN29" s="1"/>
      <c r="AO29" s="1"/>
      <c r="AP29" s="1"/>
      <c r="AQ29" s="1"/>
      <c r="AR29" s="1"/>
      <c r="AS29" s="21">
        <v>31.5</v>
      </c>
      <c r="AT29" s="27">
        <v>35</v>
      </c>
      <c r="AU29" s="21">
        <v>59</v>
      </c>
      <c r="AV29" s="21">
        <v>62.1</v>
      </c>
      <c r="AW29" s="21">
        <v>58.9</v>
      </c>
      <c r="AX29" s="21">
        <v>65.8</v>
      </c>
      <c r="AY29" s="21">
        <v>61</v>
      </c>
      <c r="AZ29" s="21">
        <v>63.7</v>
      </c>
      <c r="BA29" s="21">
        <v>71.8</v>
      </c>
      <c r="BB29" s="1">
        <v>74.900000000000006</v>
      </c>
      <c r="BC29" s="1">
        <v>74.8</v>
      </c>
      <c r="BD29" s="1">
        <v>78.599999999999994</v>
      </c>
      <c r="BE29" s="1">
        <v>91.9</v>
      </c>
      <c r="BF29" s="1">
        <v>73.599999999999994</v>
      </c>
      <c r="BG29" s="19">
        <f>BF29+BI29</f>
        <v>83.241599999999991</v>
      </c>
      <c r="BH29" s="1">
        <v>13.1</v>
      </c>
      <c r="BI29">
        <f t="shared" si="3"/>
        <v>9.6415999999999986</v>
      </c>
      <c r="BJ29" s="42">
        <f t="shared" si="4"/>
        <v>113.1</v>
      </c>
      <c r="BP29" s="76"/>
      <c r="BQ29" s="65" t="s">
        <v>294</v>
      </c>
      <c r="BR29" s="74">
        <v>1.5</v>
      </c>
      <c r="BS29" s="74">
        <f>0.5+1.1</f>
        <v>1.6</v>
      </c>
      <c r="BT29" s="74">
        <v>11.2</v>
      </c>
      <c r="BU29" s="74">
        <v>20.399999999999999</v>
      </c>
      <c r="BV29" s="74">
        <v>32.799999999999997</v>
      </c>
      <c r="BW29" s="74">
        <v>39.700000000000003</v>
      </c>
      <c r="BX29" s="74">
        <f>1.8+0.2+0.8+0.1</f>
        <v>2.9</v>
      </c>
      <c r="BY29" s="74"/>
      <c r="BZ29" s="74">
        <v>0.6</v>
      </c>
      <c r="CA29" s="74">
        <f>2.1+1.2+2.2+0.8+0.2</f>
        <v>6.5</v>
      </c>
      <c r="CB29" s="74">
        <f>3.4+2.2+11.6</f>
        <v>17.2</v>
      </c>
      <c r="CC29" s="74">
        <f>5.4+0.4+11.6+6.1</f>
        <v>23.5</v>
      </c>
      <c r="CD29" s="74">
        <v>19.2</v>
      </c>
      <c r="CE29" s="74">
        <v>19.399999999999999</v>
      </c>
      <c r="CF29" s="74">
        <v>18.899999999999999</v>
      </c>
      <c r="CG29" s="74">
        <v>30</v>
      </c>
      <c r="CH29" s="74">
        <v>30.9</v>
      </c>
      <c r="CI29" s="74">
        <v>49.8</v>
      </c>
      <c r="CJ29" s="74">
        <v>126.3</v>
      </c>
      <c r="CK29" s="76">
        <v>128.80000000000001</v>
      </c>
      <c r="CL29" s="76">
        <v>101.7</v>
      </c>
      <c r="CM29" s="76">
        <v>108.7</v>
      </c>
      <c r="CN29" s="36"/>
      <c r="CO29" s="65" t="s">
        <v>294</v>
      </c>
      <c r="CP29" s="42">
        <f t="shared" si="37"/>
        <v>106.66666666666667</v>
      </c>
      <c r="CQ29" s="42">
        <f t="shared" si="37"/>
        <v>699.99999999999989</v>
      </c>
      <c r="CR29" s="42">
        <f t="shared" si="37"/>
        <v>182.14285714285714</v>
      </c>
      <c r="CS29" s="42">
        <f t="shared" si="37"/>
        <v>160.78431372549019</v>
      </c>
      <c r="CT29" s="42">
        <f t="shared" si="9"/>
        <v>121.03658536585368</v>
      </c>
      <c r="CU29" s="42">
        <f t="shared" si="10"/>
        <v>7.3047858942065487</v>
      </c>
      <c r="CV29" s="42">
        <f t="shared" si="11"/>
        <v>0</v>
      </c>
      <c r="CW29" s="42"/>
      <c r="CX29" s="42">
        <f t="shared" si="13"/>
        <v>1083.3333333333335</v>
      </c>
      <c r="CY29" s="42">
        <f t="shared" si="14"/>
        <v>264.61538461538458</v>
      </c>
      <c r="CZ29" s="42">
        <f t="shared" si="15"/>
        <v>136.62790697674419</v>
      </c>
      <c r="DA29" s="42">
        <f t="shared" si="16"/>
        <v>81.702127659574458</v>
      </c>
      <c r="DB29" s="42">
        <f t="shared" si="17"/>
        <v>101.04166666666667</v>
      </c>
      <c r="DC29" s="42">
        <f t="shared" si="18"/>
        <v>97.422680412371136</v>
      </c>
      <c r="DD29" s="42">
        <f t="shared" si="19"/>
        <v>158.73015873015873</v>
      </c>
      <c r="DE29" s="42">
        <f t="shared" si="20"/>
        <v>103</v>
      </c>
      <c r="DF29" s="42">
        <f t="shared" si="20"/>
        <v>161.16504854368932</v>
      </c>
      <c r="DG29" s="42">
        <f t="shared" si="20"/>
        <v>253.6144578313253</v>
      </c>
      <c r="DH29" s="42">
        <f t="shared" si="30"/>
        <v>101.97941409342836</v>
      </c>
      <c r="DI29" s="42">
        <f t="shared" si="30"/>
        <v>78.959627329192543</v>
      </c>
      <c r="DJ29" s="42">
        <f>CM29/CL29*100</f>
        <v>106.88298918387413</v>
      </c>
    </row>
    <row r="30" spans="1:114" x14ac:dyDescent="0.2">
      <c r="A30" s="21"/>
      <c r="B30" s="21" t="s">
        <v>31</v>
      </c>
      <c r="C30" s="21" t="s">
        <v>9</v>
      </c>
      <c r="D30" s="21">
        <v>0</v>
      </c>
      <c r="E30" s="21"/>
      <c r="F30" s="21"/>
      <c r="G30" s="21"/>
      <c r="H30" s="21"/>
      <c r="I30" s="21"/>
      <c r="J30" s="21"/>
      <c r="K30" s="21"/>
      <c r="L30" s="21"/>
      <c r="M30" s="21"/>
      <c r="N30" s="24">
        <f t="shared" si="43"/>
        <v>0</v>
      </c>
      <c r="O30" s="21">
        <f t="shared" si="44"/>
        <v>0</v>
      </c>
      <c r="P30" s="21">
        <f t="shared" si="45"/>
        <v>0</v>
      </c>
      <c r="Q30" s="23">
        <f t="shared" si="33"/>
        <v>0</v>
      </c>
      <c r="R30" s="21">
        <f t="shared" si="46"/>
        <v>0</v>
      </c>
      <c r="S30" s="21">
        <f t="shared" si="47"/>
        <v>0</v>
      </c>
      <c r="T30" s="21">
        <f t="shared" si="48"/>
        <v>0</v>
      </c>
      <c r="U30" s="21">
        <f t="shared" si="49"/>
        <v>0</v>
      </c>
      <c r="V30" s="21">
        <f t="shared" si="50"/>
        <v>0</v>
      </c>
      <c r="Z30" s="1"/>
      <c r="AA30" s="19"/>
      <c r="AB30" s="19"/>
      <c r="AC30" s="19"/>
      <c r="AD30" s="19"/>
      <c r="AE30" s="19"/>
      <c r="AF30" s="19"/>
      <c r="AG30" s="19"/>
      <c r="AH30" s="19"/>
      <c r="AI30" s="19"/>
      <c r="AL30" s="1"/>
      <c r="AM30" s="1"/>
      <c r="AN30" s="1"/>
      <c r="AO30" s="1"/>
      <c r="AP30" s="1"/>
      <c r="AQ30" s="1"/>
      <c r="AR30" s="1"/>
      <c r="AS30" s="21"/>
      <c r="AT30" s="27"/>
      <c r="AU30" s="21"/>
      <c r="AV30" s="21"/>
      <c r="AW30" s="21"/>
      <c r="AX30" s="21"/>
      <c r="AY30" s="21"/>
      <c r="AZ30" s="21"/>
      <c r="BA30" s="21"/>
      <c r="BB30" s="1"/>
      <c r="BC30" s="1"/>
      <c r="BD30" s="1"/>
      <c r="BG30" s="19"/>
      <c r="BI30">
        <f t="shared" si="3"/>
        <v>0</v>
      </c>
      <c r="BJ30" s="42" t="e">
        <f t="shared" si="4"/>
        <v>#DIV/0!</v>
      </c>
      <c r="BP30" s="76"/>
      <c r="BQ30" s="65" t="s">
        <v>295</v>
      </c>
      <c r="BR30" s="74"/>
      <c r="BS30" s="74"/>
      <c r="BT30" s="74"/>
      <c r="BU30" s="74"/>
      <c r="BV30" s="74"/>
      <c r="BW30" s="74"/>
      <c r="BX30" s="74">
        <v>101.5</v>
      </c>
      <c r="BY30" s="74">
        <v>142.1</v>
      </c>
      <c r="BZ30" s="74">
        <v>193.5</v>
      </c>
      <c r="CA30" s="74">
        <v>135.1</v>
      </c>
      <c r="CB30" s="74">
        <v>40.6</v>
      </c>
      <c r="CC30" s="74">
        <v>156.69999999999999</v>
      </c>
      <c r="CD30" s="74">
        <v>226.8</v>
      </c>
      <c r="CE30" s="74">
        <v>166.7</v>
      </c>
      <c r="CF30" s="74">
        <v>180.9</v>
      </c>
      <c r="CG30" s="74">
        <v>198.8</v>
      </c>
      <c r="CH30" s="74">
        <v>215.4</v>
      </c>
      <c r="CI30" s="74">
        <v>200.1</v>
      </c>
      <c r="CJ30" s="74">
        <v>147.80000000000001</v>
      </c>
      <c r="CK30" s="76">
        <v>124.9</v>
      </c>
      <c r="CL30" s="76">
        <v>129.5</v>
      </c>
      <c r="CM30" s="76">
        <v>70.400000000000006</v>
      </c>
      <c r="CN30" s="36"/>
      <c r="CO30" s="65" t="s">
        <v>295</v>
      </c>
      <c r="CP30" s="42"/>
      <c r="CQ30" s="7"/>
      <c r="CR30" s="42"/>
      <c r="CS30" s="42"/>
      <c r="CT30" s="7"/>
      <c r="CU30" s="42"/>
      <c r="CV30" s="42">
        <f t="shared" si="11"/>
        <v>140</v>
      </c>
      <c r="CW30" s="42">
        <f t="shared" si="12"/>
        <v>136.17171006333569</v>
      </c>
      <c r="CX30" s="42">
        <f t="shared" si="13"/>
        <v>69.819121447028422</v>
      </c>
      <c r="CY30" s="42">
        <f t="shared" si="14"/>
        <v>30.051813471502591</v>
      </c>
      <c r="CZ30" s="42">
        <f t="shared" si="15"/>
        <v>385.96059113300487</v>
      </c>
      <c r="DA30" s="42">
        <f t="shared" si="16"/>
        <v>144.73516273133379</v>
      </c>
      <c r="DB30" s="42">
        <f t="shared" si="17"/>
        <v>73.500881834215164</v>
      </c>
      <c r="DC30" s="42">
        <f t="shared" si="18"/>
        <v>108.51829634073187</v>
      </c>
      <c r="DD30" s="42">
        <f t="shared" si="19"/>
        <v>109.89496959646215</v>
      </c>
      <c r="DE30" s="42">
        <f t="shared" si="20"/>
        <v>108.35010060362174</v>
      </c>
      <c r="DF30" s="42">
        <f t="shared" si="20"/>
        <v>92.896935933147631</v>
      </c>
      <c r="DG30" s="42">
        <f t="shared" si="20"/>
        <v>73.863068465767128</v>
      </c>
      <c r="DH30" s="42">
        <f t="shared" si="30"/>
        <v>84.506089309878206</v>
      </c>
      <c r="DI30" s="42">
        <f t="shared" si="30"/>
        <v>103.68294635708565</v>
      </c>
      <c r="DJ30" s="42">
        <f>CM30/CL30*100</f>
        <v>54.362934362934368</v>
      </c>
    </row>
    <row r="31" spans="1:114" x14ac:dyDescent="0.2">
      <c r="A31" s="25"/>
      <c r="B31" s="25" t="s">
        <v>95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3">
        <f t="shared" si="33"/>
        <v>0</v>
      </c>
      <c r="R31" s="25"/>
      <c r="S31" s="25"/>
      <c r="T31" s="25"/>
      <c r="U31" s="25"/>
      <c r="V31" s="25"/>
      <c r="Z31" t="s">
        <v>223</v>
      </c>
      <c r="AA31" s="19">
        <f>AA29+AA28+AA25+AA23+AA15+AA13+AA11+AA9+AA6</f>
        <v>4527612.78</v>
      </c>
      <c r="AB31" s="19">
        <f t="shared" ref="AB31:AI31" si="59">AB29+AB28+AB25+AB23+AB15+AB13+AB11+AB9+AB6</f>
        <v>4591972.6000000006</v>
      </c>
      <c r="AC31" s="19">
        <f t="shared" si="59"/>
        <v>2952084</v>
      </c>
      <c r="AD31" s="19">
        <f t="shared" si="59"/>
        <v>3096112.41</v>
      </c>
      <c r="AE31" s="19">
        <f t="shared" si="59"/>
        <v>3009240.57</v>
      </c>
      <c r="AF31" s="19">
        <f t="shared" si="59"/>
        <v>2607678.34</v>
      </c>
      <c r="AG31" s="19">
        <f t="shared" si="59"/>
        <v>3597837.8999999994</v>
      </c>
      <c r="AH31" s="19">
        <f t="shared" si="59"/>
        <v>4190072.6500000004</v>
      </c>
      <c r="AI31" s="19">
        <f t="shared" si="59"/>
        <v>4692488.4400000004</v>
      </c>
      <c r="AL31" t="s">
        <v>223</v>
      </c>
      <c r="AM31" s="21">
        <f t="shared" ref="AM31:AZ31" si="60">SUM(AM29+AM28+AM25+AM23+AM15+AM13+AM11+AM9+AM6)</f>
        <v>83.8</v>
      </c>
      <c r="AN31" s="21">
        <f t="shared" si="60"/>
        <v>405.50000000000006</v>
      </c>
      <c r="AO31" s="21">
        <f t="shared" si="60"/>
        <v>1433.6000000000001</v>
      </c>
      <c r="AP31" s="21">
        <f t="shared" si="60"/>
        <v>2569.1999999999998</v>
      </c>
      <c r="AQ31" s="27">
        <f t="shared" si="60"/>
        <v>6534.8</v>
      </c>
      <c r="AR31" s="27">
        <f t="shared" si="60"/>
        <v>16717.5</v>
      </c>
      <c r="AS31" s="21">
        <f t="shared" si="60"/>
        <v>4527.5999999999995</v>
      </c>
      <c r="AT31" s="21">
        <f t="shared" si="60"/>
        <v>4591.8999999999996</v>
      </c>
      <c r="AU31" s="21">
        <f t="shared" si="60"/>
        <v>2951.9</v>
      </c>
      <c r="AV31" s="21">
        <v>3096.1</v>
      </c>
      <c r="AW31" s="21">
        <f t="shared" si="60"/>
        <v>3017.0999999999995</v>
      </c>
      <c r="AX31" s="21">
        <f t="shared" si="60"/>
        <v>2606.4</v>
      </c>
      <c r="AY31" s="21">
        <f t="shared" si="60"/>
        <v>3436.8999999999996</v>
      </c>
      <c r="AZ31" s="21">
        <f t="shared" si="60"/>
        <v>4169.1000000000004</v>
      </c>
      <c r="BA31" s="21">
        <f>SUM(BA29+BA28+BA25+BA23+BA15+BA13+BA11+BA9+BA6)</f>
        <v>4336.2000000000007</v>
      </c>
      <c r="BB31" s="1">
        <v>5076.2</v>
      </c>
      <c r="BC31" s="19">
        <f>SUM(BC6+BC9+BC11+BC13+BC15+BC23+BC25+BC28+BC29)</f>
        <v>5784.7999999999993</v>
      </c>
      <c r="BD31" s="19">
        <f>SUM(BD6+BD9+BD11+BD13+BD15+BD23+BD25+BD28+BD29)</f>
        <v>6097.7</v>
      </c>
      <c r="BE31" s="1">
        <v>4089.8</v>
      </c>
      <c r="BF31" s="19">
        <f>SUM(BF6:BF29)-BF15-BF6</f>
        <v>4178.5</v>
      </c>
      <c r="BG31" s="19">
        <f t="shared" ref="BG31" si="61">BF31+BI31</f>
        <v>4809.4534999999996</v>
      </c>
      <c r="BH31">
        <v>15.1</v>
      </c>
      <c r="BI31">
        <f t="shared" si="3"/>
        <v>630.95349999999996</v>
      </c>
      <c r="BJ31" s="42">
        <f t="shared" si="4"/>
        <v>115.09999999999998</v>
      </c>
      <c r="BP31" s="76"/>
      <c r="BQ31" s="65" t="s">
        <v>296</v>
      </c>
      <c r="BR31" s="74"/>
      <c r="BS31" s="74"/>
      <c r="BT31" s="74">
        <v>5.8</v>
      </c>
      <c r="BU31" s="74">
        <v>17</v>
      </c>
      <c r="BV31" s="74">
        <v>27</v>
      </c>
      <c r="BW31" s="74">
        <v>265.60000000000002</v>
      </c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6"/>
      <c r="CL31" s="75"/>
      <c r="CM31" s="75"/>
      <c r="CN31" s="36"/>
      <c r="CO31" s="65" t="s">
        <v>296</v>
      </c>
      <c r="CP31" s="42"/>
      <c r="CQ31" s="7"/>
      <c r="CR31" s="42">
        <f t="shared" si="37"/>
        <v>293.10344827586209</v>
      </c>
      <c r="CS31" s="42">
        <f t="shared" si="37"/>
        <v>158.8235294117647</v>
      </c>
      <c r="CT31" s="7">
        <f t="shared" si="9"/>
        <v>983.7037037037037</v>
      </c>
      <c r="CU31" s="42">
        <f t="shared" si="10"/>
        <v>0</v>
      </c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J31" s="42"/>
    </row>
    <row r="32" spans="1:114" x14ac:dyDescent="0.2">
      <c r="A32" s="21" t="s">
        <v>96</v>
      </c>
      <c r="B32" s="21" t="s">
        <v>34</v>
      </c>
      <c r="C32" s="21" t="s">
        <v>7</v>
      </c>
      <c r="D32" s="21">
        <v>20</v>
      </c>
      <c r="E32" s="21">
        <v>20</v>
      </c>
      <c r="F32" s="21">
        <v>30</v>
      </c>
      <c r="G32" s="21"/>
      <c r="H32" s="21"/>
      <c r="I32" s="21"/>
      <c r="J32" s="21"/>
      <c r="K32" s="21"/>
      <c r="L32" s="21"/>
      <c r="M32" s="21">
        <v>30</v>
      </c>
      <c r="N32" s="24">
        <f t="shared" ref="N32:N37" si="62">D32*M32</f>
        <v>600</v>
      </c>
      <c r="O32" s="21">
        <f t="shared" ref="O32:O37" si="63">E32*M32</f>
        <v>600</v>
      </c>
      <c r="P32" s="21">
        <f t="shared" ref="P32:P37" si="64">F32*M32</f>
        <v>900</v>
      </c>
      <c r="Q32" s="23">
        <f t="shared" si="33"/>
        <v>0</v>
      </c>
      <c r="R32" s="21">
        <f t="shared" ref="R32:R37" si="65">H32*M32</f>
        <v>0</v>
      </c>
      <c r="S32" s="21">
        <f t="shared" ref="S32:S37" si="66">I32*M32</f>
        <v>0</v>
      </c>
      <c r="T32" s="21">
        <f t="shared" ref="T32:T37" si="67">J32*M32</f>
        <v>0</v>
      </c>
      <c r="U32" s="21">
        <f t="shared" ref="U32:U37" si="68">K32*M32</f>
        <v>0</v>
      </c>
      <c r="V32" s="21">
        <f t="shared" ref="V32:V37" si="69">L32*M32</f>
        <v>0</v>
      </c>
      <c r="AA32" s="19">
        <v>4527612.78</v>
      </c>
      <c r="AB32" s="19">
        <v>4591972.5999999996</v>
      </c>
      <c r="AC32" s="19">
        <v>2952084</v>
      </c>
      <c r="AD32" s="21">
        <v>3096112.4</v>
      </c>
      <c r="AE32" s="19">
        <v>3009240.57</v>
      </c>
      <c r="AF32" s="19">
        <v>2607678.34</v>
      </c>
      <c r="AG32" s="19">
        <v>3597837.9</v>
      </c>
      <c r="AH32" s="19">
        <v>4190072.65</v>
      </c>
      <c r="AI32" s="19">
        <v>4692488.4400000004</v>
      </c>
      <c r="BB32" s="1"/>
      <c r="BC32" s="1"/>
      <c r="BD32" s="19">
        <f>BC31-BD31</f>
        <v>-312.90000000000055</v>
      </c>
      <c r="BP32" s="76"/>
      <c r="BQ32" s="66" t="s">
        <v>297</v>
      </c>
      <c r="BR32" s="74"/>
      <c r="BS32" s="74">
        <v>0.7</v>
      </c>
      <c r="BT32" s="74">
        <v>5.2</v>
      </c>
      <c r="BU32" s="74">
        <v>7</v>
      </c>
      <c r="BV32" s="74">
        <v>6.4</v>
      </c>
      <c r="BW32" s="74">
        <v>4.5999999999999996</v>
      </c>
      <c r="BX32" s="74">
        <f>102.6-101.5</f>
        <v>1.0999999999999943</v>
      </c>
      <c r="BY32" s="74">
        <f>209.8-142.1</f>
        <v>67.700000000000017</v>
      </c>
      <c r="BZ32" s="74">
        <f>195.2-193.5</f>
        <v>1.6999999999999886</v>
      </c>
      <c r="CA32" s="74">
        <f>145.5-135.1-5.5</f>
        <v>4.9000000000000057</v>
      </c>
      <c r="CB32" s="74">
        <f>44.7-40.6</f>
        <v>4.1000000000000014</v>
      </c>
      <c r="CC32" s="74">
        <f>176.7-156.7-17.4</f>
        <v>2.6000000000000014</v>
      </c>
      <c r="CD32" s="74">
        <v>10.199999999999999</v>
      </c>
      <c r="CE32" s="74">
        <v>28.2</v>
      </c>
      <c r="CF32" s="74">
        <v>20.399999999999999</v>
      </c>
      <c r="CG32" s="74">
        <v>22.7</v>
      </c>
      <c r="CH32" s="74">
        <v>21.6</v>
      </c>
      <c r="CI32" s="74">
        <v>21.5</v>
      </c>
      <c r="CJ32" s="74">
        <v>24.3</v>
      </c>
      <c r="CK32" s="76">
        <v>43.1</v>
      </c>
      <c r="CL32" s="75">
        <v>43.9</v>
      </c>
      <c r="CM32" s="75">
        <v>39.6</v>
      </c>
      <c r="CN32" s="36"/>
      <c r="CO32" s="66" t="s">
        <v>297</v>
      </c>
      <c r="CP32" s="42"/>
      <c r="CQ32" s="42">
        <f t="shared" si="37"/>
        <v>742.857142857143</v>
      </c>
      <c r="CR32" s="42">
        <f t="shared" si="37"/>
        <v>134.61538461538461</v>
      </c>
      <c r="CS32" s="42">
        <f t="shared" si="37"/>
        <v>91.428571428571431</v>
      </c>
      <c r="CT32" s="42">
        <f t="shared" si="9"/>
        <v>71.874999999999986</v>
      </c>
      <c r="CU32" s="42">
        <f t="shared" si="10"/>
        <v>23.913043478260747</v>
      </c>
      <c r="CV32" s="42">
        <f t="shared" si="11"/>
        <v>6154.5454545454877</v>
      </c>
      <c r="CW32" s="42">
        <f t="shared" si="12"/>
        <v>2.5110782865583285</v>
      </c>
      <c r="CX32" s="42">
        <f t="shared" si="13"/>
        <v>288.23529411764935</v>
      </c>
      <c r="CY32" s="42">
        <f t="shared" si="14"/>
        <v>83.673469387755034</v>
      </c>
      <c r="CZ32" s="42">
        <f t="shared" si="15"/>
        <v>63.414634146341477</v>
      </c>
      <c r="DA32" s="42">
        <f t="shared" si="16"/>
        <v>392.30769230769209</v>
      </c>
      <c r="DB32" s="42">
        <f t="shared" si="17"/>
        <v>276.47058823529409</v>
      </c>
      <c r="DC32" s="42">
        <f t="shared" si="18"/>
        <v>72.340425531914889</v>
      </c>
      <c r="DD32" s="42">
        <f t="shared" si="19"/>
        <v>111.27450980392157</v>
      </c>
      <c r="DE32" s="42">
        <f t="shared" si="20"/>
        <v>95.154185022026439</v>
      </c>
      <c r="DF32" s="42">
        <f t="shared" si="20"/>
        <v>99.537037037037038</v>
      </c>
      <c r="DG32" s="42">
        <f t="shared" si="20"/>
        <v>113.0232558139535</v>
      </c>
      <c r="DH32" s="42">
        <f t="shared" si="30"/>
        <v>177.36625514403292</v>
      </c>
      <c r="DI32" s="42">
        <f t="shared" si="30"/>
        <v>101.85614849187934</v>
      </c>
      <c r="DJ32" s="42">
        <f>CM32/CL32*100</f>
        <v>90.205011389521644</v>
      </c>
    </row>
    <row r="33" spans="1:114" ht="22.5" customHeight="1" x14ac:dyDescent="0.2">
      <c r="A33" s="21"/>
      <c r="B33" s="21" t="s">
        <v>39</v>
      </c>
      <c r="C33" s="21" t="s">
        <v>7</v>
      </c>
      <c r="D33" s="21">
        <v>4</v>
      </c>
      <c r="E33" s="21">
        <v>6</v>
      </c>
      <c r="F33" s="21">
        <v>31</v>
      </c>
      <c r="G33" s="21"/>
      <c r="H33" s="21"/>
      <c r="I33" s="21"/>
      <c r="J33" s="21"/>
      <c r="K33" s="21"/>
      <c r="L33" s="21"/>
      <c r="M33" s="21">
        <v>10</v>
      </c>
      <c r="N33" s="24">
        <f t="shared" si="62"/>
        <v>40</v>
      </c>
      <c r="O33" s="21">
        <f t="shared" si="63"/>
        <v>60</v>
      </c>
      <c r="P33" s="21">
        <f t="shared" si="64"/>
        <v>310</v>
      </c>
      <c r="Q33" s="23">
        <f t="shared" si="33"/>
        <v>0</v>
      </c>
      <c r="R33" s="21">
        <f t="shared" si="65"/>
        <v>0</v>
      </c>
      <c r="S33" s="21">
        <f t="shared" si="66"/>
        <v>0</v>
      </c>
      <c r="T33" s="21">
        <f t="shared" si="67"/>
        <v>0</v>
      </c>
      <c r="U33" s="21">
        <f t="shared" si="68"/>
        <v>0</v>
      </c>
      <c r="V33" s="21">
        <f t="shared" si="69"/>
        <v>0</v>
      </c>
      <c r="AA33" s="19">
        <f t="shared" ref="AA33:AH33" si="70">AA32-AA31</f>
        <v>0</v>
      </c>
      <c r="AB33" s="19">
        <f t="shared" si="70"/>
        <v>0</v>
      </c>
      <c r="AC33" s="19">
        <f t="shared" si="70"/>
        <v>0</v>
      </c>
      <c r="AD33" s="19">
        <f t="shared" si="70"/>
        <v>-1.0000000242143869E-2</v>
      </c>
      <c r="AE33" s="19">
        <f t="shared" si="70"/>
        <v>0</v>
      </c>
      <c r="AF33" s="19">
        <f t="shared" si="70"/>
        <v>0</v>
      </c>
      <c r="AG33" s="19">
        <f t="shared" si="70"/>
        <v>0</v>
      </c>
      <c r="AH33" s="19">
        <f t="shared" si="70"/>
        <v>0</v>
      </c>
      <c r="AI33" s="19">
        <f>AI32-AI31</f>
        <v>0</v>
      </c>
      <c r="AP33" t="s">
        <v>231</v>
      </c>
      <c r="BB33" s="1"/>
      <c r="BC33" s="1"/>
      <c r="BD33" s="1"/>
      <c r="BG33" s="4">
        <f>BG6+BG9+BG13+BG15+BG23+BG25+BG29</f>
        <v>4620.2254999999996</v>
      </c>
      <c r="BL33" s="30"/>
      <c r="BM33" s="30"/>
      <c r="BN33" s="30"/>
      <c r="BO33" s="30"/>
      <c r="BP33" s="76"/>
      <c r="BQ33" s="64" t="s">
        <v>298</v>
      </c>
      <c r="BR33" s="74">
        <f>BR16+BR13+BR9</f>
        <v>83.8</v>
      </c>
      <c r="BS33" s="74">
        <f t="shared" ref="BS33:CJ33" si="71">BS16+BS13+BS9</f>
        <v>405.99999999999994</v>
      </c>
      <c r="BT33" s="74">
        <f t="shared" si="71"/>
        <v>1439.2000000000003</v>
      </c>
      <c r="BU33" s="74">
        <f t="shared" si="71"/>
        <v>2586.1</v>
      </c>
      <c r="BV33" s="74">
        <f t="shared" si="71"/>
        <v>6124.4</v>
      </c>
      <c r="BW33" s="74">
        <f t="shared" si="71"/>
        <v>16229.300000000001</v>
      </c>
      <c r="BX33" s="74">
        <f t="shared" si="71"/>
        <v>4527.3999999999996</v>
      </c>
      <c r="BY33" s="74">
        <f t="shared" si="71"/>
        <v>4592</v>
      </c>
      <c r="BZ33" s="74">
        <f t="shared" si="71"/>
        <v>2951.7</v>
      </c>
      <c r="CA33" s="74">
        <f t="shared" si="71"/>
        <v>3096.1</v>
      </c>
      <c r="CB33" s="74">
        <f t="shared" si="71"/>
        <v>3034.2</v>
      </c>
      <c r="CC33" s="74">
        <f t="shared" si="71"/>
        <v>2598.1999999999998</v>
      </c>
      <c r="CD33" s="74">
        <f t="shared" si="71"/>
        <v>3459.2</v>
      </c>
      <c r="CE33" s="74">
        <f t="shared" si="71"/>
        <v>4153</v>
      </c>
      <c r="CF33" s="74">
        <f t="shared" si="71"/>
        <v>3989</v>
      </c>
      <c r="CG33" s="74">
        <f t="shared" si="71"/>
        <v>5031.8999999999996</v>
      </c>
      <c r="CH33" s="74">
        <f t="shared" si="71"/>
        <v>5785</v>
      </c>
      <c r="CI33" s="74">
        <f t="shared" si="71"/>
        <v>6097.6999999999989</v>
      </c>
      <c r="CJ33" s="74">
        <f t="shared" si="71"/>
        <v>4089.8</v>
      </c>
      <c r="CK33" s="76">
        <v>4178.5</v>
      </c>
      <c r="CL33" s="75">
        <f>CL9+CL13+CL16</f>
        <v>4809.5</v>
      </c>
      <c r="CM33" s="75">
        <f>CM9+CM13+CM16</f>
        <v>6750.5</v>
      </c>
      <c r="CN33" s="36"/>
      <c r="CO33" s="64" t="s">
        <v>298</v>
      </c>
      <c r="CP33" s="42">
        <f t="shared" si="37"/>
        <v>484.4868735083532</v>
      </c>
      <c r="CQ33" s="42">
        <f t="shared" si="37"/>
        <v>354.48275862068976</v>
      </c>
      <c r="CR33" s="42">
        <f t="shared" si="37"/>
        <v>179.69010561423008</v>
      </c>
      <c r="CS33" s="42">
        <f t="shared" si="37"/>
        <v>236.81992189010478</v>
      </c>
      <c r="CT33" s="42">
        <f>BW33/BV33*100</f>
        <v>264.99412187316312</v>
      </c>
      <c r="CU33" s="42">
        <f>BX33/BW33*100</f>
        <v>27.896458873765344</v>
      </c>
      <c r="CV33" s="42">
        <f t="shared" si="11"/>
        <v>101.42686751778062</v>
      </c>
      <c r="CW33" s="42">
        <f t="shared" si="12"/>
        <v>64.279181184668985</v>
      </c>
      <c r="CX33" s="42">
        <f t="shared" si="13"/>
        <v>104.89209608022496</v>
      </c>
      <c r="CY33" s="42">
        <f t="shared" si="14"/>
        <v>98.000710571363967</v>
      </c>
      <c r="CZ33" s="42">
        <f t="shared" si="15"/>
        <v>85.630479203743988</v>
      </c>
      <c r="DA33" s="42">
        <f t="shared" si="16"/>
        <v>133.13832653375414</v>
      </c>
      <c r="DB33" s="42">
        <f t="shared" si="17"/>
        <v>120.05666049953747</v>
      </c>
      <c r="DC33" s="42">
        <f t="shared" si="18"/>
        <v>96.051047435588728</v>
      </c>
      <c r="DD33" s="42">
        <f t="shared" si="19"/>
        <v>126.144397092003</v>
      </c>
      <c r="DE33" s="42">
        <f t="shared" si="20"/>
        <v>114.96651364295793</v>
      </c>
      <c r="DF33" s="42">
        <f t="shared" si="20"/>
        <v>105.40535868625753</v>
      </c>
      <c r="DG33" s="42">
        <f t="shared" si="20"/>
        <v>67.071190776850301</v>
      </c>
      <c r="DH33" s="42">
        <f t="shared" si="30"/>
        <v>102.16881021076824</v>
      </c>
      <c r="DI33" s="42">
        <f t="shared" si="30"/>
        <v>115.10111283953573</v>
      </c>
      <c r="DJ33" s="42">
        <f>CM33/CL33*100</f>
        <v>140.35762553279966</v>
      </c>
    </row>
    <row r="34" spans="1:114" x14ac:dyDescent="0.2">
      <c r="A34" s="21"/>
      <c r="B34" s="21" t="s">
        <v>142</v>
      </c>
      <c r="C34" s="21" t="s">
        <v>7</v>
      </c>
      <c r="D34" s="21"/>
      <c r="E34" s="21">
        <v>8</v>
      </c>
      <c r="F34" s="21">
        <v>8</v>
      </c>
      <c r="G34" s="21">
        <v>10</v>
      </c>
      <c r="H34" s="21"/>
      <c r="I34" s="21"/>
      <c r="J34" s="21"/>
      <c r="K34" s="21"/>
      <c r="L34" s="21"/>
      <c r="M34" s="21">
        <v>17</v>
      </c>
      <c r="N34" s="24">
        <f t="shared" si="62"/>
        <v>0</v>
      </c>
      <c r="O34" s="21">
        <f t="shared" si="63"/>
        <v>136</v>
      </c>
      <c r="P34" s="21">
        <f t="shared" si="64"/>
        <v>136</v>
      </c>
      <c r="Q34" s="23">
        <f t="shared" si="33"/>
        <v>170</v>
      </c>
      <c r="R34" s="21">
        <f t="shared" si="65"/>
        <v>0</v>
      </c>
      <c r="S34" s="21">
        <f t="shared" si="66"/>
        <v>0</v>
      </c>
      <c r="T34" s="21">
        <f t="shared" si="67"/>
        <v>0</v>
      </c>
      <c r="U34" s="21">
        <f t="shared" si="68"/>
        <v>0</v>
      </c>
      <c r="V34" s="21">
        <f t="shared" si="69"/>
        <v>0</v>
      </c>
      <c r="AM34">
        <v>1940</v>
      </c>
      <c r="AN34">
        <v>1950</v>
      </c>
      <c r="AO34">
        <v>1960</v>
      </c>
      <c r="AP34">
        <v>1970</v>
      </c>
      <c r="AQ34">
        <v>1980</v>
      </c>
      <c r="AR34">
        <v>1990</v>
      </c>
      <c r="AS34">
        <v>2000</v>
      </c>
      <c r="AT34">
        <v>2001</v>
      </c>
      <c r="AU34">
        <v>2002</v>
      </c>
      <c r="AV34">
        <v>2003</v>
      </c>
      <c r="AW34">
        <v>2004</v>
      </c>
      <c r="AX34">
        <v>2005</v>
      </c>
      <c r="AY34">
        <v>2006</v>
      </c>
      <c r="AZ34">
        <v>2007</v>
      </c>
      <c r="BA34">
        <v>2008</v>
      </c>
      <c r="BB34" s="1">
        <v>2009</v>
      </c>
      <c r="BC34" s="1">
        <v>2010</v>
      </c>
      <c r="BD34" s="1">
        <v>2011</v>
      </c>
      <c r="BG34" s="4">
        <f>BG31-BG33</f>
        <v>189.22800000000007</v>
      </c>
      <c r="BQ34" s="1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58"/>
      <c r="CK34" s="19"/>
      <c r="CL34" s="19"/>
      <c r="CM34" s="19"/>
      <c r="CN34" s="36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</row>
    <row r="35" spans="1:114" x14ac:dyDescent="0.2">
      <c r="A35" s="21"/>
      <c r="B35" s="21" t="s">
        <v>40</v>
      </c>
      <c r="C35" s="21" t="s">
        <v>7</v>
      </c>
      <c r="D35" s="21"/>
      <c r="E35" s="21">
        <v>7</v>
      </c>
      <c r="F35" s="21">
        <v>7</v>
      </c>
      <c r="G35" s="21">
        <v>12</v>
      </c>
      <c r="H35" s="21"/>
      <c r="I35" s="21"/>
      <c r="J35" s="21"/>
      <c r="K35" s="21"/>
      <c r="L35" s="21"/>
      <c r="M35" s="21">
        <v>20</v>
      </c>
      <c r="N35" s="24">
        <f t="shared" si="62"/>
        <v>0</v>
      </c>
      <c r="O35" s="21">
        <f t="shared" si="63"/>
        <v>140</v>
      </c>
      <c r="P35" s="21">
        <f t="shared" si="64"/>
        <v>140</v>
      </c>
      <c r="Q35" s="23">
        <f t="shared" si="33"/>
        <v>240</v>
      </c>
      <c r="R35" s="21">
        <f t="shared" si="65"/>
        <v>0</v>
      </c>
      <c r="S35" s="21">
        <f t="shared" si="66"/>
        <v>0</v>
      </c>
      <c r="T35" s="21">
        <f t="shared" si="67"/>
        <v>0</v>
      </c>
      <c r="U35" s="21">
        <f t="shared" si="68"/>
        <v>0</v>
      </c>
      <c r="V35" s="21">
        <f t="shared" si="69"/>
        <v>0</v>
      </c>
      <c r="AL35" t="s">
        <v>232</v>
      </c>
      <c r="AM35" s="21">
        <v>83.8</v>
      </c>
      <c r="AN35" s="21">
        <v>406</v>
      </c>
      <c r="AO35" s="21">
        <v>1439.2</v>
      </c>
      <c r="AP35" s="21">
        <v>4193.3</v>
      </c>
      <c r="AQ35" s="27">
        <v>8197</v>
      </c>
      <c r="AR35" s="27">
        <v>18382.8</v>
      </c>
      <c r="AS35" s="21">
        <v>4527.3999999999996</v>
      </c>
      <c r="AT35" s="21">
        <v>4591.8999999999996</v>
      </c>
      <c r="AU35" s="21">
        <v>2951.7</v>
      </c>
      <c r="AV35" s="21">
        <v>3095.9</v>
      </c>
      <c r="AW35" s="21">
        <v>3034.2</v>
      </c>
      <c r="AX35" s="21">
        <v>2598.1999999999998</v>
      </c>
      <c r="AY35" s="21">
        <v>3459.2</v>
      </c>
      <c r="AZ35" s="21">
        <v>4153</v>
      </c>
      <c r="BA35" s="21">
        <v>4336.2</v>
      </c>
      <c r="BB35" s="1">
        <v>5076.2</v>
      </c>
      <c r="BC35" s="1">
        <v>5784.8</v>
      </c>
      <c r="BD35" s="1">
        <v>6097.7</v>
      </c>
      <c r="BQ35" s="1"/>
    </row>
    <row r="36" spans="1:114" x14ac:dyDescent="0.2">
      <c r="A36" s="21"/>
      <c r="B36" s="21" t="s">
        <v>4</v>
      </c>
      <c r="C36" s="21" t="s">
        <v>7</v>
      </c>
      <c r="D36" s="21">
        <v>80</v>
      </c>
      <c r="E36" s="21"/>
      <c r="F36" s="21">
        <v>26</v>
      </c>
      <c r="G36" s="21">
        <v>5</v>
      </c>
      <c r="H36" s="21">
        <v>5</v>
      </c>
      <c r="I36" s="21"/>
      <c r="J36" s="21"/>
      <c r="K36" s="21"/>
      <c r="L36" s="21"/>
      <c r="M36" s="21">
        <v>23</v>
      </c>
      <c r="N36" s="24">
        <f t="shared" si="62"/>
        <v>1840</v>
      </c>
      <c r="O36" s="21">
        <f t="shared" si="63"/>
        <v>0</v>
      </c>
      <c r="P36" s="21">
        <f t="shared" si="64"/>
        <v>598</v>
      </c>
      <c r="Q36" s="23">
        <f t="shared" si="33"/>
        <v>115</v>
      </c>
      <c r="R36" s="21">
        <f t="shared" si="65"/>
        <v>115</v>
      </c>
      <c r="S36" s="21">
        <f t="shared" si="66"/>
        <v>0</v>
      </c>
      <c r="T36" s="21">
        <f t="shared" si="67"/>
        <v>0</v>
      </c>
      <c r="U36" s="21">
        <f t="shared" si="68"/>
        <v>0</v>
      </c>
      <c r="V36" s="21">
        <f t="shared" si="69"/>
        <v>0</v>
      </c>
      <c r="AN36">
        <f>AN35/AM35*100</f>
        <v>484.48687350835326</v>
      </c>
      <c r="AO36">
        <f t="shared" ref="AO36:BC36" si="72">AO35/AN35*100</f>
        <v>354.48275862068965</v>
      </c>
      <c r="AP36">
        <f t="shared" si="72"/>
        <v>291.36325736520286</v>
      </c>
      <c r="AQ36">
        <f t="shared" si="72"/>
        <v>195.47850141893019</v>
      </c>
      <c r="AR36">
        <f t="shared" si="72"/>
        <v>224.2625350738075</v>
      </c>
      <c r="AS36">
        <f t="shared" si="72"/>
        <v>24.628457035924885</v>
      </c>
      <c r="AT36">
        <f t="shared" si="72"/>
        <v>101.42465874453328</v>
      </c>
      <c r="AU36">
        <f t="shared" si="72"/>
        <v>64.28058102310591</v>
      </c>
      <c r="AV36">
        <f t="shared" si="72"/>
        <v>104.88532032388116</v>
      </c>
      <c r="AW36">
        <f t="shared" si="72"/>
        <v>98.007041571110165</v>
      </c>
      <c r="AX36">
        <f t="shared" si="72"/>
        <v>85.630479203743988</v>
      </c>
      <c r="AY36">
        <f t="shared" si="72"/>
        <v>133.13832653375414</v>
      </c>
      <c r="AZ36">
        <f t="shared" si="72"/>
        <v>120.05666049953747</v>
      </c>
      <c r="BA36">
        <f t="shared" si="72"/>
        <v>104.41126896219599</v>
      </c>
      <c r="BB36" s="19">
        <f t="shared" si="72"/>
        <v>117.06563350398966</v>
      </c>
      <c r="BC36" s="19">
        <f t="shared" si="72"/>
        <v>113.95926086442616</v>
      </c>
      <c r="BD36" s="19"/>
      <c r="BQ36" s="1"/>
    </row>
    <row r="37" spans="1:114" ht="12.75" customHeight="1" x14ac:dyDescent="0.2">
      <c r="A37" s="21"/>
      <c r="B37" s="21" t="s">
        <v>97</v>
      </c>
      <c r="C37" s="21" t="s">
        <v>7</v>
      </c>
      <c r="D37" s="21"/>
      <c r="E37" s="21">
        <v>6</v>
      </c>
      <c r="F37" s="21">
        <v>6</v>
      </c>
      <c r="G37" s="21">
        <v>6</v>
      </c>
      <c r="H37" s="21"/>
      <c r="I37" s="21"/>
      <c r="J37" s="21"/>
      <c r="K37" s="21"/>
      <c r="L37" s="21"/>
      <c r="M37" s="21">
        <v>8</v>
      </c>
      <c r="N37" s="24">
        <f t="shared" si="62"/>
        <v>0</v>
      </c>
      <c r="O37" s="21">
        <f t="shared" si="63"/>
        <v>48</v>
      </c>
      <c r="P37" s="21">
        <f t="shared" si="64"/>
        <v>48</v>
      </c>
      <c r="Q37" s="23">
        <f t="shared" si="33"/>
        <v>48</v>
      </c>
      <c r="R37" s="21">
        <f t="shared" si="65"/>
        <v>0</v>
      </c>
      <c r="S37" s="21">
        <f t="shared" si="66"/>
        <v>0</v>
      </c>
      <c r="T37" s="21">
        <f t="shared" si="67"/>
        <v>0</v>
      </c>
      <c r="U37" s="21">
        <f t="shared" si="68"/>
        <v>0</v>
      </c>
      <c r="V37" s="21">
        <f t="shared" si="69"/>
        <v>0</v>
      </c>
      <c r="AA37">
        <v>2000</v>
      </c>
      <c r="AB37">
        <v>2000</v>
      </c>
      <c r="AC37">
        <v>2001</v>
      </c>
      <c r="AD37">
        <v>2002</v>
      </c>
      <c r="AE37">
        <v>3</v>
      </c>
      <c r="AF37">
        <v>4</v>
      </c>
      <c r="AG37">
        <v>5</v>
      </c>
      <c r="AH37">
        <v>6</v>
      </c>
      <c r="AI37">
        <v>8</v>
      </c>
      <c r="AK37" s="179" t="s">
        <v>203</v>
      </c>
      <c r="AL37" s="182" t="s">
        <v>204</v>
      </c>
      <c r="AM37" s="215" t="s">
        <v>227</v>
      </c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Q37" s="1"/>
    </row>
    <row r="38" spans="1:114" x14ac:dyDescent="0.2">
      <c r="A38" s="25"/>
      <c r="B38" s="25" t="s">
        <v>95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3">
        <f t="shared" si="33"/>
        <v>0</v>
      </c>
      <c r="R38" s="25"/>
      <c r="S38" s="25"/>
      <c r="T38" s="25"/>
      <c r="U38" s="25"/>
      <c r="V38" s="25"/>
      <c r="Z38" t="s">
        <v>233</v>
      </c>
      <c r="AA38" s="21">
        <v>28.2</v>
      </c>
      <c r="AB38" s="21">
        <v>41.5</v>
      </c>
      <c r="AC38" s="21">
        <v>36</v>
      </c>
      <c r="AD38" s="21">
        <v>35</v>
      </c>
      <c r="AE38" s="21">
        <v>35</v>
      </c>
      <c r="AF38" s="21">
        <v>36</v>
      </c>
      <c r="AG38" s="21">
        <v>36</v>
      </c>
      <c r="AH38" s="21">
        <v>38</v>
      </c>
      <c r="AI38" s="21">
        <v>48.4</v>
      </c>
      <c r="AK38" s="180"/>
      <c r="AL38" s="183"/>
      <c r="AM38" s="170">
        <v>1940</v>
      </c>
      <c r="AN38" s="170">
        <v>1950</v>
      </c>
      <c r="AO38" s="170">
        <v>1960</v>
      </c>
      <c r="AP38" s="170">
        <v>1970</v>
      </c>
      <c r="AQ38" s="170">
        <v>1980</v>
      </c>
      <c r="AR38" s="170">
        <v>1990</v>
      </c>
      <c r="AS38" s="153">
        <v>2000</v>
      </c>
      <c r="AT38" s="153">
        <v>2001</v>
      </c>
      <c r="AU38" s="153">
        <v>2002</v>
      </c>
      <c r="AV38" s="153">
        <v>2003</v>
      </c>
      <c r="AW38" s="153">
        <v>2004</v>
      </c>
      <c r="AX38" s="153">
        <v>2005</v>
      </c>
      <c r="AY38" s="153">
        <v>2006</v>
      </c>
      <c r="AZ38" s="153">
        <v>2007</v>
      </c>
      <c r="BA38" s="153">
        <v>2008</v>
      </c>
      <c r="BB38" s="156">
        <v>2009</v>
      </c>
      <c r="BC38" s="156">
        <v>2010</v>
      </c>
      <c r="BD38" s="156">
        <v>2011</v>
      </c>
      <c r="BQ38" s="1"/>
    </row>
    <row r="39" spans="1:114" x14ac:dyDescent="0.2">
      <c r="A39" s="21" t="s">
        <v>41</v>
      </c>
      <c r="B39" s="21" t="s">
        <v>42</v>
      </c>
      <c r="C39" s="21" t="s">
        <v>9</v>
      </c>
      <c r="D39" s="21">
        <v>82.3</v>
      </c>
      <c r="E39" s="21">
        <v>2</v>
      </c>
      <c r="F39" s="21">
        <v>3</v>
      </c>
      <c r="G39" s="21"/>
      <c r="H39" s="21"/>
      <c r="I39" s="21"/>
      <c r="J39" s="21"/>
      <c r="K39" s="21"/>
      <c r="L39" s="21"/>
      <c r="M39" s="21">
        <v>220</v>
      </c>
      <c r="N39" s="24">
        <f t="shared" ref="N39:N47" si="73">D39*M39</f>
        <v>18106</v>
      </c>
      <c r="O39" s="21">
        <f t="shared" ref="O39:O47" si="74">E39*M39</f>
        <v>440</v>
      </c>
      <c r="P39" s="21">
        <f t="shared" ref="P39:P47" si="75">F39*M39</f>
        <v>660</v>
      </c>
      <c r="Q39" s="23">
        <f t="shared" si="33"/>
        <v>0</v>
      </c>
      <c r="R39" s="21">
        <f t="shared" ref="R39:R47" si="76">H39*M39</f>
        <v>0</v>
      </c>
      <c r="S39" s="21">
        <f t="shared" ref="S39:S47" si="77">I39*M39</f>
        <v>0</v>
      </c>
      <c r="T39" s="21">
        <f t="shared" ref="T39:T47" si="78">J39*M39</f>
        <v>0</v>
      </c>
      <c r="U39" s="21">
        <f t="shared" ref="U39:U47" si="79">K39*M39</f>
        <v>0</v>
      </c>
      <c r="V39" s="21">
        <f t="shared" ref="V39:V47" si="80">L39*M39</f>
        <v>0</v>
      </c>
      <c r="Z39" t="s">
        <v>100</v>
      </c>
      <c r="AA39" s="21">
        <v>10.6</v>
      </c>
      <c r="AB39" s="21">
        <v>11.4</v>
      </c>
      <c r="AC39" s="21">
        <v>15.1</v>
      </c>
      <c r="AD39" s="21">
        <v>6.7</v>
      </c>
      <c r="AE39" s="21">
        <v>5</v>
      </c>
      <c r="AF39" s="21">
        <v>4.3</v>
      </c>
      <c r="AG39" s="21">
        <v>4.2</v>
      </c>
      <c r="AH39" s="21">
        <v>2.9</v>
      </c>
      <c r="AI39" s="21">
        <v>2.9</v>
      </c>
      <c r="AK39" s="181"/>
      <c r="AL39" s="184"/>
      <c r="AM39" s="170"/>
      <c r="AN39" s="170"/>
      <c r="AO39" s="170"/>
      <c r="AP39" s="170"/>
      <c r="AQ39" s="170"/>
      <c r="AR39" s="170"/>
      <c r="AS39" s="153"/>
      <c r="AT39" s="153"/>
      <c r="AU39" s="153"/>
      <c r="AV39" s="153"/>
      <c r="AW39" s="153"/>
      <c r="AX39" s="153"/>
      <c r="AY39" s="153"/>
      <c r="AZ39" s="153"/>
      <c r="BA39" s="153"/>
      <c r="BB39" s="157"/>
      <c r="BC39" s="157"/>
      <c r="BD39" s="157"/>
      <c r="BQ39" s="65"/>
      <c r="BR39" s="70"/>
      <c r="BS39" s="71" t="s">
        <v>301</v>
      </c>
      <c r="BT39" s="71"/>
      <c r="BU39" s="71"/>
      <c r="BV39" s="71"/>
      <c r="BW39" s="71"/>
      <c r="BX39" s="71"/>
      <c r="BY39" s="71"/>
      <c r="BZ39" s="71"/>
      <c r="CA39" s="71"/>
      <c r="CB39" s="71"/>
      <c r="CC39" s="71"/>
      <c r="CD39" s="71"/>
      <c r="CE39" s="70"/>
      <c r="CF39" s="70"/>
      <c r="CG39" s="70"/>
      <c r="CH39" s="70"/>
      <c r="CI39" s="70"/>
      <c r="CJ39" s="70"/>
      <c r="CK39" s="70"/>
      <c r="CL39" s="70"/>
      <c r="CM39" s="70"/>
    </row>
    <row r="40" spans="1:114" x14ac:dyDescent="0.2">
      <c r="A40" s="21"/>
      <c r="B40" s="21" t="s">
        <v>19</v>
      </c>
      <c r="C40" s="21" t="s">
        <v>9</v>
      </c>
      <c r="D40" s="21">
        <v>15.2</v>
      </c>
      <c r="E40" s="21"/>
      <c r="F40" s="21"/>
      <c r="G40" s="21"/>
      <c r="H40" s="21"/>
      <c r="I40" s="21"/>
      <c r="J40" s="21"/>
      <c r="K40" s="21"/>
      <c r="L40" s="21"/>
      <c r="M40" s="21">
        <v>140</v>
      </c>
      <c r="N40" s="24">
        <f t="shared" si="73"/>
        <v>2128</v>
      </c>
      <c r="O40" s="21">
        <f t="shared" si="74"/>
        <v>0</v>
      </c>
      <c r="P40" s="21">
        <f t="shared" si="75"/>
        <v>0</v>
      </c>
      <c r="Q40" s="23">
        <f t="shared" si="33"/>
        <v>0</v>
      </c>
      <c r="R40" s="21">
        <f t="shared" si="76"/>
        <v>0</v>
      </c>
      <c r="S40" s="21">
        <f t="shared" si="77"/>
        <v>0</v>
      </c>
      <c r="T40" s="21">
        <f t="shared" si="78"/>
        <v>0</v>
      </c>
      <c r="U40" s="21">
        <f t="shared" si="79"/>
        <v>0</v>
      </c>
      <c r="V40" s="21">
        <f t="shared" si="80"/>
        <v>0</v>
      </c>
      <c r="Z40" t="s">
        <v>234</v>
      </c>
      <c r="AA40" s="21"/>
      <c r="AB40" s="21">
        <v>3.4</v>
      </c>
      <c r="AC40" s="21">
        <v>3.4</v>
      </c>
      <c r="AD40" s="21">
        <v>2.6</v>
      </c>
      <c r="AE40" s="21"/>
      <c r="AF40" s="21"/>
      <c r="AK40">
        <v>1</v>
      </c>
      <c r="AL40" s="1" t="s">
        <v>206</v>
      </c>
      <c r="BQ40" s="65"/>
      <c r="BR40" s="77">
        <v>1940</v>
      </c>
      <c r="BS40" s="77">
        <v>1950</v>
      </c>
      <c r="BT40" s="77">
        <v>1960</v>
      </c>
      <c r="BU40" s="77">
        <v>1970</v>
      </c>
      <c r="BV40" s="77">
        <v>1980</v>
      </c>
      <c r="BW40" s="77">
        <v>1990</v>
      </c>
      <c r="BX40" s="77">
        <v>2000</v>
      </c>
      <c r="BY40" s="77">
        <v>2001</v>
      </c>
      <c r="BZ40" s="77">
        <v>2002</v>
      </c>
      <c r="CA40" s="77">
        <v>2003</v>
      </c>
      <c r="CB40" s="77">
        <v>2004</v>
      </c>
      <c r="CC40" s="77">
        <v>2005</v>
      </c>
      <c r="CD40" s="77">
        <v>2006</v>
      </c>
      <c r="CE40" s="77">
        <v>2007</v>
      </c>
      <c r="CF40" s="77">
        <v>2008</v>
      </c>
      <c r="CG40" s="77">
        <v>2009</v>
      </c>
      <c r="CH40" s="77">
        <v>2010</v>
      </c>
      <c r="CI40" s="77">
        <v>2011</v>
      </c>
      <c r="CJ40" s="77">
        <v>2012</v>
      </c>
      <c r="CK40" s="77">
        <v>2013</v>
      </c>
      <c r="CL40" s="77">
        <v>2014</v>
      </c>
      <c r="CM40" s="77">
        <v>2015</v>
      </c>
      <c r="CN40" s="34"/>
    </row>
    <row r="41" spans="1:114" x14ac:dyDescent="0.2">
      <c r="A41" s="21"/>
      <c r="B41" s="21" t="s">
        <v>44</v>
      </c>
      <c r="C41" s="21" t="s">
        <v>3</v>
      </c>
      <c r="D41" s="21">
        <v>1987.5</v>
      </c>
      <c r="E41" s="21">
        <v>12134.2</v>
      </c>
      <c r="F41" s="21">
        <v>5985.5</v>
      </c>
      <c r="G41" s="21">
        <v>580</v>
      </c>
      <c r="H41" s="21"/>
      <c r="I41" s="21"/>
      <c r="J41" s="21"/>
      <c r="K41" s="21"/>
      <c r="L41" s="21"/>
      <c r="M41" s="21">
        <v>1</v>
      </c>
      <c r="N41" s="24">
        <f t="shared" si="73"/>
        <v>1987.5</v>
      </c>
      <c r="O41" s="21">
        <f t="shared" si="74"/>
        <v>12134.2</v>
      </c>
      <c r="P41" s="21">
        <f t="shared" si="75"/>
        <v>5985.5</v>
      </c>
      <c r="Q41" s="23">
        <f t="shared" si="33"/>
        <v>580</v>
      </c>
      <c r="R41" s="21">
        <f t="shared" si="76"/>
        <v>0</v>
      </c>
      <c r="S41" s="21">
        <f t="shared" si="77"/>
        <v>0</v>
      </c>
      <c r="T41" s="21">
        <f t="shared" si="78"/>
        <v>0</v>
      </c>
      <c r="U41" s="21">
        <f t="shared" si="79"/>
        <v>0</v>
      </c>
      <c r="V41" s="21">
        <f t="shared" si="80"/>
        <v>0</v>
      </c>
      <c r="Z41" t="s">
        <v>125</v>
      </c>
      <c r="AA41" s="21">
        <v>3</v>
      </c>
      <c r="AB41" s="21"/>
      <c r="AC41" s="21">
        <v>0.8</v>
      </c>
      <c r="AD41" s="21">
        <v>1.5</v>
      </c>
      <c r="AL41" s="1" t="s">
        <v>207</v>
      </c>
      <c r="AM41" s="4">
        <f>AM6/AM31*100</f>
        <v>0</v>
      </c>
      <c r="AN41" s="4">
        <f t="shared" ref="AN41:BA41" si="81">AN6/AN31*100</f>
        <v>0</v>
      </c>
      <c r="AO41" s="4">
        <f t="shared" si="81"/>
        <v>5.8384486607142856</v>
      </c>
      <c r="AP41" s="4">
        <f t="shared" si="81"/>
        <v>39.841195702942557</v>
      </c>
      <c r="AQ41" s="4">
        <f t="shared" si="81"/>
        <v>39.009610087531364</v>
      </c>
      <c r="AR41" s="4">
        <f t="shared" si="81"/>
        <v>56.805144309854938</v>
      </c>
      <c r="AS41" s="4">
        <f t="shared" si="81"/>
        <v>15.67717996289425</v>
      </c>
      <c r="AT41" s="4">
        <f t="shared" si="81"/>
        <v>16.886256233803003</v>
      </c>
      <c r="AU41" s="4">
        <f t="shared" si="81"/>
        <v>27.046986686540869</v>
      </c>
      <c r="AV41" s="4">
        <f t="shared" si="81"/>
        <v>27.757501372694684</v>
      </c>
      <c r="AW41" s="4">
        <f t="shared" si="81"/>
        <v>28.298697424679332</v>
      </c>
      <c r="AX41" s="4">
        <f t="shared" si="81"/>
        <v>29.65392879066912</v>
      </c>
      <c r="AY41" s="4">
        <f t="shared" si="81"/>
        <v>23.724868340655824</v>
      </c>
      <c r="AZ41" s="4">
        <f t="shared" si="81"/>
        <v>22.009546424887862</v>
      </c>
      <c r="BA41" s="4">
        <f t="shared" si="81"/>
        <v>20.146672201466721</v>
      </c>
      <c r="BB41" s="4">
        <f>BB6/BB31*100</f>
        <v>18.438989795516331</v>
      </c>
      <c r="BC41" s="4">
        <f>BC6/BC31*100</f>
        <v>18.505393444890057</v>
      </c>
      <c r="BD41" s="4">
        <f>BD6/BD31*100</f>
        <v>17.150728963379635</v>
      </c>
      <c r="BQ41" s="65" t="s">
        <v>302</v>
      </c>
      <c r="BR41" s="75">
        <v>83.8</v>
      </c>
      <c r="BS41" s="75">
        <v>405.99999999999994</v>
      </c>
      <c r="BT41" s="75">
        <v>1439.2000000000003</v>
      </c>
      <c r="BU41" s="75">
        <v>2586.1</v>
      </c>
      <c r="BV41" s="75">
        <v>6124.4</v>
      </c>
      <c r="BW41" s="75">
        <v>16229.300000000001</v>
      </c>
      <c r="BX41" s="75">
        <v>4527.3999999999996</v>
      </c>
      <c r="BY41" s="75">
        <v>4592</v>
      </c>
      <c r="BZ41" s="75">
        <v>2951.7</v>
      </c>
      <c r="CA41" s="75">
        <v>3096.1</v>
      </c>
      <c r="CB41" s="75">
        <v>3034.2</v>
      </c>
      <c r="CC41" s="75">
        <v>2598.1999999999998</v>
      </c>
      <c r="CD41" s="75">
        <v>3459.2</v>
      </c>
      <c r="CE41" s="75">
        <v>4153</v>
      </c>
      <c r="CF41" s="75">
        <v>3989</v>
      </c>
      <c r="CG41" s="75">
        <v>5031.8999999999996</v>
      </c>
      <c r="CH41" s="75">
        <v>5785</v>
      </c>
      <c r="CI41" s="75">
        <v>6097.7</v>
      </c>
      <c r="CJ41" s="75">
        <v>4089.7</v>
      </c>
      <c r="CK41" s="75">
        <v>4178.5</v>
      </c>
      <c r="CL41" s="75">
        <v>4809.5</v>
      </c>
      <c r="CM41" s="75">
        <f>CM33</f>
        <v>6750.5</v>
      </c>
    </row>
    <row r="42" spans="1:114" x14ac:dyDescent="0.2">
      <c r="A42" s="21"/>
      <c r="B42" s="21" t="s">
        <v>26</v>
      </c>
      <c r="C42" s="21" t="s">
        <v>15</v>
      </c>
      <c r="D42" s="21">
        <v>12</v>
      </c>
      <c r="E42" s="21"/>
      <c r="F42" s="21"/>
      <c r="G42" s="21"/>
      <c r="H42" s="21"/>
      <c r="I42" s="21"/>
      <c r="J42" s="21"/>
      <c r="K42" s="21"/>
      <c r="L42" s="21"/>
      <c r="M42" s="21">
        <v>195</v>
      </c>
      <c r="N42" s="24">
        <f t="shared" si="73"/>
        <v>2340</v>
      </c>
      <c r="O42" s="21">
        <f t="shared" si="74"/>
        <v>0</v>
      </c>
      <c r="P42" s="21">
        <f t="shared" si="75"/>
        <v>0</v>
      </c>
      <c r="Q42" s="23">
        <f t="shared" si="33"/>
        <v>0</v>
      </c>
      <c r="R42" s="21">
        <f t="shared" si="76"/>
        <v>0</v>
      </c>
      <c r="S42" s="21">
        <f t="shared" si="77"/>
        <v>0</v>
      </c>
      <c r="T42" s="21">
        <f t="shared" si="78"/>
        <v>0</v>
      </c>
      <c r="U42" s="21">
        <f t="shared" si="79"/>
        <v>0</v>
      </c>
      <c r="V42" s="21">
        <f t="shared" si="80"/>
        <v>0</v>
      </c>
      <c r="Z42" t="s">
        <v>235</v>
      </c>
      <c r="AA42" s="21"/>
      <c r="AB42" s="21"/>
      <c r="AC42" s="21">
        <v>2.9</v>
      </c>
      <c r="AD42" s="21">
        <v>3</v>
      </c>
      <c r="AE42" s="21"/>
      <c r="AF42" s="21"/>
      <c r="AL42" s="1" t="s">
        <v>208</v>
      </c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Q42" s="1"/>
    </row>
    <row r="43" spans="1:114" x14ac:dyDescent="0.2">
      <c r="A43" s="21"/>
      <c r="B43" s="21" t="s">
        <v>43</v>
      </c>
      <c r="C43" s="21" t="s">
        <v>3</v>
      </c>
      <c r="D43" s="21">
        <v>1880</v>
      </c>
      <c r="E43" s="21"/>
      <c r="F43" s="21">
        <v>570</v>
      </c>
      <c r="G43" s="21"/>
      <c r="H43" s="21"/>
      <c r="I43" s="21"/>
      <c r="J43" s="21"/>
      <c r="K43" s="21"/>
      <c r="L43" s="21"/>
      <c r="M43" s="21">
        <v>1</v>
      </c>
      <c r="N43" s="24">
        <f t="shared" si="73"/>
        <v>1880</v>
      </c>
      <c r="O43" s="21">
        <f t="shared" si="74"/>
        <v>0</v>
      </c>
      <c r="P43" s="21">
        <f t="shared" si="75"/>
        <v>570</v>
      </c>
      <c r="Q43" s="23">
        <f t="shared" si="33"/>
        <v>0</v>
      </c>
      <c r="R43" s="21">
        <f t="shared" si="76"/>
        <v>0</v>
      </c>
      <c r="S43" s="21">
        <f t="shared" si="77"/>
        <v>0</v>
      </c>
      <c r="T43" s="21">
        <f t="shared" si="78"/>
        <v>0</v>
      </c>
      <c r="U43" s="21">
        <f t="shared" si="79"/>
        <v>0</v>
      </c>
      <c r="V43" s="21">
        <f t="shared" si="80"/>
        <v>0</v>
      </c>
      <c r="AA43">
        <f>SUM(AA38:AA42)</f>
        <v>41.8</v>
      </c>
      <c r="AB43">
        <f t="shared" ref="AB43:AI43" si="82">SUM(AB38:AB42)</f>
        <v>56.3</v>
      </c>
      <c r="AC43">
        <f t="shared" si="82"/>
        <v>58.199999999999996</v>
      </c>
      <c r="AD43">
        <f t="shared" si="82"/>
        <v>48.800000000000004</v>
      </c>
      <c r="AE43">
        <f t="shared" si="82"/>
        <v>40</v>
      </c>
      <c r="AF43">
        <f t="shared" si="82"/>
        <v>40.299999999999997</v>
      </c>
      <c r="AG43">
        <f t="shared" si="82"/>
        <v>40.200000000000003</v>
      </c>
      <c r="AH43">
        <f t="shared" si="82"/>
        <v>40.9</v>
      </c>
      <c r="AI43">
        <f t="shared" si="82"/>
        <v>51.3</v>
      </c>
      <c r="AL43" s="1" t="s">
        <v>209</v>
      </c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Q43" s="1"/>
    </row>
    <row r="44" spans="1:114" x14ac:dyDescent="0.2">
      <c r="A44" s="21"/>
      <c r="B44" s="21" t="s">
        <v>34</v>
      </c>
      <c r="C44" s="21" t="s">
        <v>3</v>
      </c>
      <c r="D44" s="21"/>
      <c r="E44" s="21">
        <v>2190</v>
      </c>
      <c r="F44" s="21"/>
      <c r="G44" s="21"/>
      <c r="H44" s="21"/>
      <c r="I44" s="21"/>
      <c r="J44" s="21"/>
      <c r="K44" s="21"/>
      <c r="L44" s="21"/>
      <c r="M44" s="21">
        <v>30</v>
      </c>
      <c r="N44" s="24">
        <f t="shared" si="73"/>
        <v>0</v>
      </c>
      <c r="O44" s="21">
        <f t="shared" si="74"/>
        <v>65700</v>
      </c>
      <c r="P44" s="21">
        <f t="shared" si="75"/>
        <v>0</v>
      </c>
      <c r="Q44" s="23">
        <f t="shared" si="33"/>
        <v>0</v>
      </c>
      <c r="R44" s="21">
        <f t="shared" si="76"/>
        <v>0</v>
      </c>
      <c r="S44" s="21">
        <f t="shared" si="77"/>
        <v>0</v>
      </c>
      <c r="T44" s="21">
        <f t="shared" si="78"/>
        <v>0</v>
      </c>
      <c r="U44" s="21">
        <f t="shared" si="79"/>
        <v>0</v>
      </c>
      <c r="V44" s="21">
        <f t="shared" si="80"/>
        <v>0</v>
      </c>
      <c r="AK44">
        <v>2</v>
      </c>
      <c r="AL44" s="1" t="s">
        <v>50</v>
      </c>
      <c r="AM44" s="4">
        <f>AM9/AM31*100</f>
        <v>0</v>
      </c>
      <c r="AN44" s="4">
        <f t="shared" ref="AN44:BD44" si="83">AN9/AN31*100</f>
        <v>0</v>
      </c>
      <c r="AO44" s="4">
        <f t="shared" si="83"/>
        <v>4.8060825892857144</v>
      </c>
      <c r="AP44" s="4">
        <f t="shared" si="83"/>
        <v>6.3288183092013073</v>
      </c>
      <c r="AQ44" s="4">
        <f t="shared" si="83"/>
        <v>8.04615290445002</v>
      </c>
      <c r="AR44" s="4">
        <f t="shared" si="83"/>
        <v>8.7806191117092869</v>
      </c>
      <c r="AS44" s="4">
        <f t="shared" si="83"/>
        <v>6.3631946285007528</v>
      </c>
      <c r="AT44" s="4">
        <f t="shared" si="83"/>
        <v>8.4496613602212598</v>
      </c>
      <c r="AU44" s="4">
        <f t="shared" si="83"/>
        <v>13.584471018665944</v>
      </c>
      <c r="AV44" s="4">
        <f t="shared" si="83"/>
        <v>10.862052259293952</v>
      </c>
      <c r="AW44" s="4">
        <f t="shared" si="83"/>
        <v>9.1345994498027938</v>
      </c>
      <c r="AX44" s="4">
        <f t="shared" si="83"/>
        <v>10.654542664211172</v>
      </c>
      <c r="AY44" s="4">
        <f t="shared" si="83"/>
        <v>8.0654077802671011</v>
      </c>
      <c r="AZ44" s="4">
        <f t="shared" si="83"/>
        <v>6.7592525964836527</v>
      </c>
      <c r="BA44" s="4">
        <f t="shared" si="83"/>
        <v>8.1522992481896583</v>
      </c>
      <c r="BB44" s="4">
        <f t="shared" si="83"/>
        <v>7.3302864347346457</v>
      </c>
      <c r="BC44" s="4">
        <f t="shared" si="83"/>
        <v>6.6000553173834895</v>
      </c>
      <c r="BD44" s="4">
        <f t="shared" si="83"/>
        <v>9.8102563261557645</v>
      </c>
      <c r="BQ44" s="1"/>
    </row>
    <row r="45" spans="1:114" x14ac:dyDescent="0.2">
      <c r="A45" s="21"/>
      <c r="B45" s="21" t="s">
        <v>4</v>
      </c>
      <c r="C45" s="21" t="s">
        <v>33</v>
      </c>
      <c r="D45" s="21">
        <v>9</v>
      </c>
      <c r="E45" s="21"/>
      <c r="F45" s="21"/>
      <c r="G45" s="21"/>
      <c r="H45" s="21"/>
      <c r="I45" s="21"/>
      <c r="J45" s="21"/>
      <c r="K45" s="21"/>
      <c r="L45" s="21"/>
      <c r="M45" s="21">
        <v>23</v>
      </c>
      <c r="N45" s="24">
        <f t="shared" si="73"/>
        <v>207</v>
      </c>
      <c r="O45" s="21">
        <f t="shared" si="74"/>
        <v>0</v>
      </c>
      <c r="P45" s="21">
        <f t="shared" si="75"/>
        <v>0</v>
      </c>
      <c r="Q45" s="23">
        <f t="shared" si="33"/>
        <v>0</v>
      </c>
      <c r="R45" s="21">
        <f t="shared" si="76"/>
        <v>0</v>
      </c>
      <c r="S45" s="21">
        <f t="shared" si="77"/>
        <v>0</v>
      </c>
      <c r="T45" s="21">
        <f t="shared" si="78"/>
        <v>0</v>
      </c>
      <c r="U45" s="21">
        <f t="shared" si="79"/>
        <v>0</v>
      </c>
      <c r="V45" s="21">
        <f t="shared" si="80"/>
        <v>0</v>
      </c>
      <c r="AK45">
        <v>3</v>
      </c>
      <c r="AL45" s="1" t="s">
        <v>210</v>
      </c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Q45" s="1"/>
    </row>
    <row r="46" spans="1:114" x14ac:dyDescent="0.2">
      <c r="A46" s="21"/>
      <c r="B46" s="21" t="s">
        <v>123</v>
      </c>
      <c r="C46" s="21" t="s">
        <v>25</v>
      </c>
      <c r="D46" s="21">
        <v>0.4</v>
      </c>
      <c r="E46" s="21"/>
      <c r="F46" s="21"/>
      <c r="G46" s="21"/>
      <c r="H46" s="21"/>
      <c r="I46" s="21"/>
      <c r="J46" s="21"/>
      <c r="K46" s="21"/>
      <c r="L46" s="21"/>
      <c r="M46" s="21">
        <v>13.8</v>
      </c>
      <c r="N46" s="24">
        <f t="shared" si="73"/>
        <v>5.5200000000000005</v>
      </c>
      <c r="O46" s="21">
        <f t="shared" si="74"/>
        <v>0</v>
      </c>
      <c r="P46" s="21">
        <f t="shared" si="75"/>
        <v>0</v>
      </c>
      <c r="Q46" s="23">
        <f t="shared" si="33"/>
        <v>0</v>
      </c>
      <c r="R46" s="21">
        <f t="shared" si="76"/>
        <v>0</v>
      </c>
      <c r="S46" s="21">
        <f t="shared" si="77"/>
        <v>0</v>
      </c>
      <c r="T46" s="21">
        <f t="shared" si="78"/>
        <v>0</v>
      </c>
      <c r="U46" s="21">
        <f t="shared" si="79"/>
        <v>0</v>
      </c>
      <c r="V46" s="21">
        <f t="shared" si="80"/>
        <v>0</v>
      </c>
      <c r="AL46" s="1" t="s">
        <v>211</v>
      </c>
      <c r="AM46" s="4">
        <f>AM11/AM31*100</f>
        <v>0</v>
      </c>
      <c r="AN46" s="4">
        <f t="shared" ref="AN46:BD46" si="84">AN11/AN31*100</f>
        <v>0</v>
      </c>
      <c r="AO46" s="4">
        <f t="shared" si="84"/>
        <v>0</v>
      </c>
      <c r="AP46" s="4">
        <f t="shared" si="84"/>
        <v>0</v>
      </c>
      <c r="AQ46" s="4">
        <f t="shared" si="84"/>
        <v>0</v>
      </c>
      <c r="AR46" s="4">
        <f t="shared" si="84"/>
        <v>0</v>
      </c>
      <c r="AS46" s="4">
        <f t="shared" si="84"/>
        <v>65.97535117943282</v>
      </c>
      <c r="AT46" s="4">
        <f t="shared" si="84"/>
        <v>52.272479801389416</v>
      </c>
      <c r="AU46" s="4">
        <f t="shared" si="84"/>
        <v>22.63288051763271</v>
      </c>
      <c r="AV46" s="4">
        <f t="shared" si="84"/>
        <v>31.565517909628245</v>
      </c>
      <c r="AW46" s="4">
        <f t="shared" si="84"/>
        <v>28.149547578800838</v>
      </c>
      <c r="AX46" s="4">
        <f t="shared" si="84"/>
        <v>21.147943523634133</v>
      </c>
      <c r="AY46" s="4">
        <f t="shared" si="84"/>
        <v>12.098111670400653</v>
      </c>
      <c r="AZ46" s="4">
        <f t="shared" si="84"/>
        <v>11.697968386462303</v>
      </c>
      <c r="BA46" s="4">
        <f t="shared" si="84"/>
        <v>6.4641852313085186</v>
      </c>
      <c r="BB46" s="4">
        <f t="shared" si="84"/>
        <v>6.0734407627753049</v>
      </c>
      <c r="BC46" s="4">
        <f t="shared" si="84"/>
        <v>5.4435762688424845</v>
      </c>
      <c r="BD46" s="4">
        <f t="shared" si="84"/>
        <v>0.42967020351935975</v>
      </c>
    </row>
    <row r="47" spans="1:114" x14ac:dyDescent="0.2">
      <c r="A47" s="21"/>
      <c r="B47" s="21" t="s">
        <v>5</v>
      </c>
      <c r="C47" s="21" t="s">
        <v>3</v>
      </c>
      <c r="D47" s="21">
        <v>120</v>
      </c>
      <c r="E47" s="21">
        <v>838.5</v>
      </c>
      <c r="F47" s="21">
        <v>572.5</v>
      </c>
      <c r="G47" s="21"/>
      <c r="H47" s="21"/>
      <c r="I47" s="21"/>
      <c r="J47" s="21"/>
      <c r="K47" s="21"/>
      <c r="L47" s="21"/>
      <c r="M47" s="21">
        <v>1</v>
      </c>
      <c r="N47" s="24">
        <f t="shared" si="73"/>
        <v>120</v>
      </c>
      <c r="O47" s="21">
        <f t="shared" si="74"/>
        <v>838.5</v>
      </c>
      <c r="P47" s="21">
        <f t="shared" si="75"/>
        <v>572.5</v>
      </c>
      <c r="Q47" s="23">
        <f t="shared" si="33"/>
        <v>0</v>
      </c>
      <c r="R47" s="21">
        <f t="shared" si="76"/>
        <v>0</v>
      </c>
      <c r="S47" s="21">
        <f t="shared" si="77"/>
        <v>0</v>
      </c>
      <c r="T47" s="21">
        <f t="shared" si="78"/>
        <v>0</v>
      </c>
      <c r="U47" s="21">
        <f t="shared" si="79"/>
        <v>0</v>
      </c>
      <c r="V47" s="21">
        <f t="shared" si="80"/>
        <v>0</v>
      </c>
      <c r="AK47">
        <v>4</v>
      </c>
      <c r="AL47" s="1" t="s">
        <v>224</v>
      </c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1:114" x14ac:dyDescent="0.2">
      <c r="A48" s="25"/>
      <c r="B48" s="25" t="s">
        <v>95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3">
        <f t="shared" si="33"/>
        <v>0</v>
      </c>
      <c r="R48" s="25"/>
      <c r="S48" s="25"/>
      <c r="T48" s="25"/>
      <c r="U48" s="25"/>
      <c r="V48" s="25"/>
      <c r="AL48" s="1" t="s">
        <v>225</v>
      </c>
      <c r="AM48" s="4">
        <f>AM13/AM31*100</f>
        <v>0.8353221957040573</v>
      </c>
      <c r="AN48" s="4">
        <f t="shared" ref="AN48:BD48" si="85">AN13/AN31*100</f>
        <v>2.4660912453760789E-2</v>
      </c>
      <c r="AO48" s="4">
        <f t="shared" si="85"/>
        <v>0.4464285714285714</v>
      </c>
      <c r="AP48" s="4">
        <f t="shared" si="85"/>
        <v>3.8922621827806327E-3</v>
      </c>
      <c r="AQ48" s="4">
        <f t="shared" si="85"/>
        <v>6.6995164350860019</v>
      </c>
      <c r="AR48" s="4">
        <f t="shared" si="85"/>
        <v>4.5126364588006576</v>
      </c>
      <c r="AS48" s="4">
        <f t="shared" si="85"/>
        <v>0</v>
      </c>
      <c r="AT48" s="4">
        <f t="shared" si="85"/>
        <v>0.27657396720311855</v>
      </c>
      <c r="AU48" s="4">
        <f t="shared" si="85"/>
        <v>8.4691215827094407E-2</v>
      </c>
      <c r="AV48" s="4">
        <f t="shared" si="85"/>
        <v>0.51031943412680469</v>
      </c>
      <c r="AW48" s="4">
        <f t="shared" si="85"/>
        <v>0.42424845049882348</v>
      </c>
      <c r="AX48" s="4">
        <f t="shared" si="85"/>
        <v>0.81338244321669739</v>
      </c>
      <c r="AY48" s="4">
        <f t="shared" si="85"/>
        <v>1.579912130117257</v>
      </c>
      <c r="AZ48" s="4">
        <f t="shared" si="85"/>
        <v>2.0843827204912331</v>
      </c>
      <c r="BA48" s="4">
        <f t="shared" si="85"/>
        <v>3.9227895392278942</v>
      </c>
      <c r="BB48" s="4">
        <f t="shared" si="85"/>
        <v>1.9877073401363226</v>
      </c>
      <c r="BC48" s="4">
        <f t="shared" si="85"/>
        <v>4.8834877610289045</v>
      </c>
      <c r="BD48" s="4">
        <f t="shared" si="85"/>
        <v>5.5988323466224967</v>
      </c>
    </row>
    <row r="49" spans="1:56" x14ac:dyDescent="0.2">
      <c r="A49" s="21" t="s">
        <v>98</v>
      </c>
      <c r="B49" s="21" t="s">
        <v>13</v>
      </c>
      <c r="C49" s="21" t="s">
        <v>15</v>
      </c>
      <c r="D49" s="21">
        <v>4.5</v>
      </c>
      <c r="E49" s="21">
        <v>61.4</v>
      </c>
      <c r="F49" s="21">
        <v>40</v>
      </c>
      <c r="G49" s="21">
        <v>13.5</v>
      </c>
      <c r="H49" s="21">
        <v>2.2000000000000002</v>
      </c>
      <c r="I49" s="21"/>
      <c r="J49" s="21"/>
      <c r="K49" s="21"/>
      <c r="L49" s="21"/>
      <c r="M49" s="21">
        <v>2963.5</v>
      </c>
      <c r="N49" s="22">
        <f t="shared" ref="N49:N57" si="86">D49*M49</f>
        <v>13335.75</v>
      </c>
      <c r="O49" s="23">
        <f t="shared" ref="O49:O57" si="87">E49*M49</f>
        <v>181958.9</v>
      </c>
      <c r="P49" s="23">
        <f t="shared" ref="P49:P57" si="88">F49*M49</f>
        <v>118540</v>
      </c>
      <c r="Q49" s="23">
        <f t="shared" si="33"/>
        <v>40007.25</v>
      </c>
      <c r="R49" s="23">
        <f t="shared" ref="R49:R57" si="89">H49*M49</f>
        <v>6519.7000000000007</v>
      </c>
      <c r="S49" s="23">
        <f t="shared" ref="S49:S57" si="90">I49*M49</f>
        <v>0</v>
      </c>
      <c r="T49" s="23">
        <f t="shared" ref="T49:T57" si="91">J49*M49</f>
        <v>0</v>
      </c>
      <c r="U49" s="23">
        <f t="shared" ref="U49:U57" si="92">K49*M49</f>
        <v>0</v>
      </c>
      <c r="V49" s="23">
        <f t="shared" ref="V49:V57" si="93">L49*M49</f>
        <v>0</v>
      </c>
      <c r="AK49">
        <v>5</v>
      </c>
      <c r="AL49" s="1" t="s">
        <v>212</v>
      </c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1:56" x14ac:dyDescent="0.2">
      <c r="A50" s="21" t="s">
        <v>99</v>
      </c>
      <c r="B50" s="21" t="s">
        <v>13</v>
      </c>
      <c r="C50" s="21" t="s">
        <v>15</v>
      </c>
      <c r="D50" s="21">
        <v>3.8</v>
      </c>
      <c r="E50" s="21">
        <v>7.3</v>
      </c>
      <c r="F50" s="21">
        <v>4.7</v>
      </c>
      <c r="G50" s="21">
        <v>3.4</v>
      </c>
      <c r="H50" s="21">
        <v>1.2</v>
      </c>
      <c r="I50" s="21">
        <v>1.6</v>
      </c>
      <c r="J50" s="21">
        <v>8.6999999999999993</v>
      </c>
      <c r="K50" s="21">
        <v>2.5</v>
      </c>
      <c r="L50" s="21">
        <v>0.2</v>
      </c>
      <c r="M50" s="21">
        <v>2963.5</v>
      </c>
      <c r="N50" s="24">
        <f t="shared" si="86"/>
        <v>11261.3</v>
      </c>
      <c r="O50" s="21">
        <f t="shared" si="87"/>
        <v>21633.55</v>
      </c>
      <c r="P50" s="21">
        <f t="shared" si="88"/>
        <v>13928.45</v>
      </c>
      <c r="Q50" s="23">
        <f t="shared" si="33"/>
        <v>10075.9</v>
      </c>
      <c r="R50" s="21">
        <f t="shared" si="89"/>
        <v>3556.2</v>
      </c>
      <c r="S50" s="21">
        <f t="shared" si="90"/>
        <v>4741.6000000000004</v>
      </c>
      <c r="T50" s="21">
        <f t="shared" si="91"/>
        <v>25782.449999999997</v>
      </c>
      <c r="U50" s="21">
        <f t="shared" si="92"/>
        <v>7408.75</v>
      </c>
      <c r="V50" s="21">
        <f t="shared" si="93"/>
        <v>592.70000000000005</v>
      </c>
      <c r="AL50" s="1" t="s">
        <v>213</v>
      </c>
      <c r="AM50" s="4">
        <f>AM15/AM31*100</f>
        <v>96.181384248210023</v>
      </c>
      <c r="AN50" s="4">
        <f t="shared" ref="AN50:BD50" si="94">AN15/AN31*100</f>
        <v>99.210850801479637</v>
      </c>
      <c r="AO50" s="4">
        <f t="shared" si="94"/>
        <v>87.297712053571416</v>
      </c>
      <c r="AP50" s="4">
        <f t="shared" si="94"/>
        <v>52.245835279464423</v>
      </c>
      <c r="AQ50" s="4">
        <f t="shared" si="94"/>
        <v>45.295953969517043</v>
      </c>
      <c r="AR50" s="4">
        <f t="shared" si="94"/>
        <v>29.461941079706893</v>
      </c>
      <c r="AS50" s="4">
        <f t="shared" si="94"/>
        <v>8.8391200636098599</v>
      </c>
      <c r="AT50" s="4">
        <f t="shared" si="94"/>
        <v>15.736405409525469</v>
      </c>
      <c r="AU50" s="4">
        <f t="shared" si="94"/>
        <v>27.639825197330531</v>
      </c>
      <c r="AV50" s="4">
        <f t="shared" si="94"/>
        <v>22.20212525435225</v>
      </c>
      <c r="AW50" s="4">
        <f t="shared" si="94"/>
        <v>29.342746345828779</v>
      </c>
      <c r="AX50" s="4">
        <f t="shared" si="94"/>
        <v>26.991252302025782</v>
      </c>
      <c r="AY50" s="4">
        <f t="shared" si="94"/>
        <v>45.669062236317615</v>
      </c>
      <c r="AZ50" s="4">
        <f t="shared" si="94"/>
        <v>50.370583579189756</v>
      </c>
      <c r="BA50" s="4">
        <f t="shared" si="94"/>
        <v>52.057100687237664</v>
      </c>
      <c r="BB50" s="4">
        <f t="shared" si="94"/>
        <v>59.436192427406333</v>
      </c>
      <c r="BC50" s="4">
        <f t="shared" si="94"/>
        <v>57.618240907205099</v>
      </c>
      <c r="BD50" s="4">
        <f t="shared" si="94"/>
        <v>60.490020827525136</v>
      </c>
    </row>
    <row r="51" spans="1:56" x14ac:dyDescent="0.2">
      <c r="A51" s="21"/>
      <c r="B51" s="21" t="s">
        <v>140</v>
      </c>
      <c r="C51" s="21" t="s">
        <v>15</v>
      </c>
      <c r="D51" s="21"/>
      <c r="E51" s="21"/>
      <c r="F51" s="21">
        <v>0.5</v>
      </c>
      <c r="G51" s="21">
        <v>2.9</v>
      </c>
      <c r="H51" s="21">
        <v>0.2</v>
      </c>
      <c r="I51" s="21">
        <v>0.5</v>
      </c>
      <c r="J51" s="21">
        <v>4.8</v>
      </c>
      <c r="K51" s="21">
        <v>9.1999999999999993</v>
      </c>
      <c r="L51" s="21">
        <v>3.1</v>
      </c>
      <c r="M51" s="21">
        <v>510</v>
      </c>
      <c r="N51" s="24">
        <f t="shared" si="86"/>
        <v>0</v>
      </c>
      <c r="O51" s="21">
        <f t="shared" si="87"/>
        <v>0</v>
      </c>
      <c r="P51" s="21">
        <f t="shared" si="88"/>
        <v>255</v>
      </c>
      <c r="Q51" s="23">
        <f t="shared" si="33"/>
        <v>1479</v>
      </c>
      <c r="R51" s="21">
        <f t="shared" si="89"/>
        <v>102</v>
      </c>
      <c r="S51" s="21">
        <f t="shared" si="90"/>
        <v>255</v>
      </c>
      <c r="T51" s="21">
        <f t="shared" si="91"/>
        <v>2448</v>
      </c>
      <c r="U51" s="21">
        <f t="shared" si="92"/>
        <v>4692</v>
      </c>
      <c r="V51" s="21">
        <f t="shared" si="93"/>
        <v>1581</v>
      </c>
      <c r="AL51" s="1" t="s">
        <v>214</v>
      </c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1:56" x14ac:dyDescent="0.2">
      <c r="A52" s="21"/>
      <c r="B52" s="21" t="s">
        <v>103</v>
      </c>
      <c r="C52" s="21"/>
      <c r="D52" s="21"/>
      <c r="E52" s="21"/>
      <c r="F52" s="21"/>
      <c r="G52" s="21"/>
      <c r="H52" s="21">
        <v>0.3</v>
      </c>
      <c r="I52" s="21"/>
      <c r="J52" s="21"/>
      <c r="K52" s="21"/>
      <c r="L52" s="21"/>
      <c r="M52" s="21">
        <v>80.599999999999994</v>
      </c>
      <c r="N52" s="24">
        <f t="shared" si="86"/>
        <v>0</v>
      </c>
      <c r="O52" s="21">
        <f t="shared" si="87"/>
        <v>0</v>
      </c>
      <c r="P52" s="21">
        <f t="shared" si="88"/>
        <v>0</v>
      </c>
      <c r="Q52" s="23">
        <f t="shared" si="33"/>
        <v>0</v>
      </c>
      <c r="R52" s="21">
        <f t="shared" si="89"/>
        <v>24.179999999999996</v>
      </c>
      <c r="S52" s="21">
        <f t="shared" si="90"/>
        <v>0</v>
      </c>
      <c r="T52" s="21">
        <f t="shared" si="91"/>
        <v>0</v>
      </c>
      <c r="U52" s="21">
        <f t="shared" si="92"/>
        <v>0</v>
      </c>
      <c r="V52" s="21">
        <f t="shared" si="93"/>
        <v>0</v>
      </c>
      <c r="AL52" s="1" t="s">
        <v>215</v>
      </c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1:56" x14ac:dyDescent="0.2">
      <c r="A53" s="21"/>
      <c r="B53" s="21" t="s">
        <v>150</v>
      </c>
      <c r="C53" s="21"/>
      <c r="D53" s="21"/>
      <c r="E53" s="21"/>
      <c r="F53" s="21"/>
      <c r="G53" s="21"/>
      <c r="H53" s="21"/>
      <c r="I53" s="21"/>
      <c r="J53" s="21"/>
      <c r="K53" s="21">
        <v>40</v>
      </c>
      <c r="L53" s="21">
        <v>16</v>
      </c>
      <c r="M53" s="21">
        <v>80.599999999999994</v>
      </c>
      <c r="N53" s="24">
        <f t="shared" si="86"/>
        <v>0</v>
      </c>
      <c r="O53" s="21">
        <f t="shared" si="87"/>
        <v>0</v>
      </c>
      <c r="P53" s="21">
        <f t="shared" si="88"/>
        <v>0</v>
      </c>
      <c r="Q53" s="23">
        <f t="shared" si="33"/>
        <v>0</v>
      </c>
      <c r="R53" s="21">
        <f t="shared" si="89"/>
        <v>0</v>
      </c>
      <c r="S53" s="21">
        <f t="shared" si="90"/>
        <v>0</v>
      </c>
      <c r="T53" s="21">
        <f t="shared" si="91"/>
        <v>0</v>
      </c>
      <c r="U53" s="21">
        <f t="shared" si="92"/>
        <v>3224</v>
      </c>
      <c r="V53" s="21">
        <f t="shared" si="93"/>
        <v>1289.5999999999999</v>
      </c>
      <c r="AL53" s="1" t="s">
        <v>216</v>
      </c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1:56" x14ac:dyDescent="0.2">
      <c r="A54" s="21"/>
      <c r="B54" s="21" t="s">
        <v>164</v>
      </c>
      <c r="C54" s="21"/>
      <c r="D54" s="21"/>
      <c r="E54" s="21"/>
      <c r="F54" s="21"/>
      <c r="G54" s="21"/>
      <c r="H54" s="21">
        <v>0.2</v>
      </c>
      <c r="I54" s="21">
        <v>0.2</v>
      </c>
      <c r="J54" s="21"/>
      <c r="K54" s="21"/>
      <c r="L54" s="21"/>
      <c r="M54" s="21"/>
      <c r="N54" s="24">
        <f t="shared" si="86"/>
        <v>0</v>
      </c>
      <c r="O54" s="21">
        <f t="shared" si="87"/>
        <v>0</v>
      </c>
      <c r="P54" s="21">
        <f t="shared" si="88"/>
        <v>0</v>
      </c>
      <c r="Q54" s="23">
        <f t="shared" si="33"/>
        <v>0</v>
      </c>
      <c r="R54" s="21">
        <f t="shared" si="89"/>
        <v>0</v>
      </c>
      <c r="S54" s="21">
        <f t="shared" si="90"/>
        <v>0</v>
      </c>
      <c r="T54" s="21">
        <f t="shared" si="91"/>
        <v>0</v>
      </c>
      <c r="U54" s="21">
        <f t="shared" si="92"/>
        <v>0</v>
      </c>
      <c r="V54" s="21">
        <f t="shared" si="93"/>
        <v>0</v>
      </c>
      <c r="AL54" s="1" t="s">
        <v>217</v>
      </c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1:56" x14ac:dyDescent="0.2">
      <c r="A55" s="21"/>
      <c r="B55" s="21" t="s">
        <v>186</v>
      </c>
      <c r="C55" s="21"/>
      <c r="D55" s="21"/>
      <c r="E55" s="21"/>
      <c r="F55" s="21"/>
      <c r="G55" s="21"/>
      <c r="H55" s="21"/>
      <c r="I55" s="21"/>
      <c r="J55" s="21"/>
      <c r="K55" s="21"/>
      <c r="L55" s="21">
        <v>6.94</v>
      </c>
      <c r="M55" s="21">
        <v>1000</v>
      </c>
      <c r="N55" s="24">
        <f t="shared" si="86"/>
        <v>0</v>
      </c>
      <c r="O55" s="21">
        <f t="shared" si="87"/>
        <v>0</v>
      </c>
      <c r="P55" s="21">
        <f t="shared" si="88"/>
        <v>0</v>
      </c>
      <c r="Q55" s="23">
        <f t="shared" si="33"/>
        <v>0</v>
      </c>
      <c r="R55" s="21">
        <f t="shared" si="89"/>
        <v>0</v>
      </c>
      <c r="S55" s="21">
        <f t="shared" si="90"/>
        <v>0</v>
      </c>
      <c r="T55" s="21">
        <f t="shared" si="91"/>
        <v>0</v>
      </c>
      <c r="U55" s="21">
        <f t="shared" si="92"/>
        <v>0</v>
      </c>
      <c r="V55" s="21">
        <f t="shared" si="93"/>
        <v>6940</v>
      </c>
      <c r="AL55" s="1" t="s">
        <v>218</v>
      </c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1:56" x14ac:dyDescent="0.2">
      <c r="A56" s="21"/>
      <c r="B56" s="21" t="s">
        <v>129</v>
      </c>
      <c r="C56" s="21"/>
      <c r="D56" s="21"/>
      <c r="E56" s="21"/>
      <c r="F56" s="21"/>
      <c r="G56" s="21"/>
      <c r="H56" s="21"/>
      <c r="I56" s="21"/>
      <c r="J56" s="21"/>
      <c r="K56" s="21"/>
      <c r="L56" s="21">
        <v>1200</v>
      </c>
      <c r="M56" s="21">
        <v>1</v>
      </c>
      <c r="N56" s="24">
        <f t="shared" si="86"/>
        <v>0</v>
      </c>
      <c r="O56" s="21">
        <f t="shared" si="87"/>
        <v>0</v>
      </c>
      <c r="P56" s="21">
        <f t="shared" si="88"/>
        <v>0</v>
      </c>
      <c r="Q56" s="23">
        <f t="shared" si="33"/>
        <v>0</v>
      </c>
      <c r="R56" s="21">
        <f t="shared" si="89"/>
        <v>0</v>
      </c>
      <c r="S56" s="21">
        <f t="shared" si="90"/>
        <v>0</v>
      </c>
      <c r="T56" s="21">
        <f t="shared" si="91"/>
        <v>0</v>
      </c>
      <c r="U56" s="21">
        <f t="shared" si="92"/>
        <v>0</v>
      </c>
      <c r="V56" s="21">
        <f t="shared" si="93"/>
        <v>1200</v>
      </c>
      <c r="AK56">
        <v>6</v>
      </c>
      <c r="AL56" s="1" t="s">
        <v>219</v>
      </c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1:56" x14ac:dyDescent="0.2">
      <c r="A57" s="21"/>
      <c r="B57" s="21" t="s">
        <v>141</v>
      </c>
      <c r="C57" s="21" t="s">
        <v>15</v>
      </c>
      <c r="D57" s="21"/>
      <c r="E57" s="21"/>
      <c r="F57" s="21">
        <v>0.5</v>
      </c>
      <c r="G57" s="21">
        <v>1.1000000000000001</v>
      </c>
      <c r="H57" s="21">
        <v>0.2</v>
      </c>
      <c r="I57" s="21"/>
      <c r="J57" s="21">
        <v>0.1</v>
      </c>
      <c r="K57" s="21">
        <v>4.3</v>
      </c>
      <c r="L57" s="21">
        <v>6.8</v>
      </c>
      <c r="M57" s="21"/>
      <c r="N57" s="24">
        <f t="shared" si="86"/>
        <v>0</v>
      </c>
      <c r="O57" s="21">
        <f t="shared" si="87"/>
        <v>0</v>
      </c>
      <c r="P57" s="21">
        <f t="shared" si="88"/>
        <v>0</v>
      </c>
      <c r="Q57" s="23">
        <f t="shared" si="33"/>
        <v>0</v>
      </c>
      <c r="R57" s="21">
        <f t="shared" si="89"/>
        <v>0</v>
      </c>
      <c r="S57" s="21">
        <f t="shared" si="90"/>
        <v>0</v>
      </c>
      <c r="T57" s="21">
        <f t="shared" si="91"/>
        <v>0</v>
      </c>
      <c r="U57" s="21">
        <f t="shared" si="92"/>
        <v>0</v>
      </c>
      <c r="V57" s="21">
        <f t="shared" si="93"/>
        <v>0</v>
      </c>
      <c r="AL57" s="1" t="s">
        <v>213</v>
      </c>
      <c r="AM57" s="4">
        <f>AM22/AM31*100</f>
        <v>0</v>
      </c>
      <c r="AN57" s="4">
        <f t="shared" ref="AN57:BD57" si="95">AN22/AN31*100</f>
        <v>0</v>
      </c>
      <c r="AO57" s="4">
        <f t="shared" si="95"/>
        <v>0</v>
      </c>
      <c r="AP57" s="4">
        <f t="shared" si="95"/>
        <v>0</v>
      </c>
      <c r="AQ57" s="4">
        <f t="shared" si="95"/>
        <v>0</v>
      </c>
      <c r="AR57" s="4">
        <f t="shared" si="95"/>
        <v>0</v>
      </c>
      <c r="AS57" s="4">
        <f t="shared" si="95"/>
        <v>0</v>
      </c>
      <c r="AT57" s="4">
        <f t="shared" si="95"/>
        <v>0</v>
      </c>
      <c r="AU57" s="4">
        <f t="shared" si="95"/>
        <v>0</v>
      </c>
      <c r="AV57" s="4">
        <f t="shared" si="95"/>
        <v>0</v>
      </c>
      <c r="AW57" s="4">
        <f t="shared" si="95"/>
        <v>0</v>
      </c>
      <c r="AX57" s="4">
        <f t="shared" si="95"/>
        <v>0</v>
      </c>
      <c r="AY57" s="4">
        <f t="shared" si="95"/>
        <v>0</v>
      </c>
      <c r="AZ57" s="4">
        <f t="shared" si="95"/>
        <v>0</v>
      </c>
      <c r="BA57" s="4">
        <f t="shared" si="95"/>
        <v>0</v>
      </c>
      <c r="BB57" s="4">
        <f t="shared" si="95"/>
        <v>0</v>
      </c>
      <c r="BC57" s="4">
        <f t="shared" si="95"/>
        <v>0</v>
      </c>
      <c r="BD57" s="4">
        <f t="shared" si="95"/>
        <v>0</v>
      </c>
    </row>
    <row r="58" spans="1:56" x14ac:dyDescent="0.2">
      <c r="A58" s="25"/>
      <c r="B58" s="25" t="s">
        <v>95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3">
        <f t="shared" si="33"/>
        <v>0</v>
      </c>
      <c r="R58" s="25"/>
      <c r="S58" s="25"/>
      <c r="T58" s="25"/>
      <c r="U58" s="25"/>
      <c r="V58" s="25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>
        <v>7</v>
      </c>
      <c r="AL58" s="1" t="s">
        <v>51</v>
      </c>
      <c r="AM58" s="4">
        <f>AM23/AM31*100</f>
        <v>2.7446300715990453</v>
      </c>
      <c r="AN58" s="4">
        <f t="shared" ref="AN58:BD58" si="96">AN23/AN31*100</f>
        <v>0.39457459926017263</v>
      </c>
      <c r="AO58" s="4">
        <f t="shared" si="96"/>
        <v>1.143973214285714</v>
      </c>
      <c r="AP58" s="4">
        <f t="shared" si="96"/>
        <v>1.2455238984898023</v>
      </c>
      <c r="AQ58" s="4">
        <f t="shared" si="96"/>
        <v>0.82634510620064883</v>
      </c>
      <c r="AR58" s="4">
        <f t="shared" si="96"/>
        <v>0.40376850605652759</v>
      </c>
      <c r="AS58" s="4">
        <f t="shared" si="96"/>
        <v>9.7181729834791078E-2</v>
      </c>
      <c r="AT58" s="4">
        <f t="shared" si="96"/>
        <v>0</v>
      </c>
      <c r="AU58" s="4">
        <f t="shared" si="96"/>
        <v>3.0488837697753991E-2</v>
      </c>
      <c r="AV58" s="4">
        <f t="shared" si="96"/>
        <v>0.22286101870094638</v>
      </c>
      <c r="AW58" s="4">
        <f t="shared" si="96"/>
        <v>2.9829969175698526E-2</v>
      </c>
      <c r="AX58" s="4">
        <f t="shared" si="96"/>
        <v>0.45273173726212396</v>
      </c>
      <c r="AY58" s="4">
        <f t="shared" si="96"/>
        <v>0.61101574092932587</v>
      </c>
      <c r="AZ58" s="4">
        <f t="shared" si="96"/>
        <v>0.54927922093497383</v>
      </c>
      <c r="BA58" s="4">
        <f t="shared" si="96"/>
        <v>0.46123333794566662</v>
      </c>
      <c r="BB58" s="4">
        <f t="shared" si="96"/>
        <v>0.39005555336669168</v>
      </c>
      <c r="BC58" s="4">
        <f t="shared" si="96"/>
        <v>0.11927810814548474</v>
      </c>
      <c r="BD58" s="4">
        <f t="shared" si="96"/>
        <v>6.3958541745248204E-2</v>
      </c>
    </row>
    <row r="59" spans="1:56" x14ac:dyDescent="0.2">
      <c r="A59" s="21" t="s">
        <v>125</v>
      </c>
      <c r="B59" s="21" t="s">
        <v>21</v>
      </c>
      <c r="C59" s="21" t="s">
        <v>20</v>
      </c>
      <c r="D59" s="21">
        <v>3</v>
      </c>
      <c r="E59" s="21"/>
      <c r="F59" s="21">
        <v>0.8</v>
      </c>
      <c r="G59" s="21">
        <v>1.5</v>
      </c>
      <c r="H59" s="21"/>
      <c r="I59" s="21"/>
      <c r="J59" s="21"/>
      <c r="K59" s="21"/>
      <c r="L59" s="21"/>
      <c r="M59" s="21">
        <v>6891.6</v>
      </c>
      <c r="N59" s="24">
        <f>D59*M59</f>
        <v>20674.800000000003</v>
      </c>
      <c r="O59" s="21">
        <f>E59*M59</f>
        <v>0</v>
      </c>
      <c r="P59" s="21">
        <f>F59*M59</f>
        <v>5513.2800000000007</v>
      </c>
      <c r="Q59" s="23">
        <f t="shared" si="33"/>
        <v>10337.400000000001</v>
      </c>
      <c r="R59" s="21">
        <f>H59*M59</f>
        <v>0</v>
      </c>
      <c r="S59" s="21">
        <f>I59*M59</f>
        <v>0</v>
      </c>
      <c r="T59" s="21">
        <f>J59*M59</f>
        <v>0</v>
      </c>
      <c r="U59" s="21">
        <f>K59*M59</f>
        <v>0</v>
      </c>
      <c r="V59" s="21">
        <f>L59*M59</f>
        <v>0</v>
      </c>
      <c r="AK59">
        <v>8</v>
      </c>
      <c r="AL59" s="1" t="s">
        <v>220</v>
      </c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1:56" x14ac:dyDescent="0.2">
      <c r="A60" s="21"/>
      <c r="B60" s="21" t="s">
        <v>189</v>
      </c>
      <c r="C60" s="21" t="s">
        <v>30</v>
      </c>
      <c r="D60" s="21"/>
      <c r="E60" s="21"/>
      <c r="F60" s="21"/>
      <c r="G60" s="21"/>
      <c r="H60" s="21"/>
      <c r="I60" s="21"/>
      <c r="J60" s="21"/>
      <c r="K60" s="21">
        <v>277.7</v>
      </c>
      <c r="L60" s="21"/>
      <c r="M60" s="21">
        <v>60</v>
      </c>
      <c r="N60" s="24">
        <f>D60*M60</f>
        <v>0</v>
      </c>
      <c r="O60" s="21">
        <f>E60*M60</f>
        <v>0</v>
      </c>
      <c r="P60" s="21">
        <f>F60*M60</f>
        <v>0</v>
      </c>
      <c r="Q60" s="23">
        <f t="shared" si="33"/>
        <v>0</v>
      </c>
      <c r="R60" s="21">
        <f>H60*M60</f>
        <v>0</v>
      </c>
      <c r="S60" s="21">
        <f>I60*M60</f>
        <v>0</v>
      </c>
      <c r="T60" s="21">
        <f>J60*M60</f>
        <v>0</v>
      </c>
      <c r="U60" s="21">
        <f>K60*M60</f>
        <v>16662</v>
      </c>
      <c r="V60" s="21">
        <f>L60*M60</f>
        <v>0</v>
      </c>
      <c r="AL60" s="1" t="s">
        <v>213</v>
      </c>
      <c r="AM60" s="4">
        <f>AM25/AM31*100</f>
        <v>0.23866348448687352</v>
      </c>
      <c r="AN60" s="4">
        <f t="shared" ref="AN60:BD60" si="97">AN25/AN31*100</f>
        <v>0.19728729963008632</v>
      </c>
      <c r="AO60" s="4">
        <f t="shared" si="97"/>
        <v>0.10463169642857142</v>
      </c>
      <c r="AP60" s="4">
        <f t="shared" si="97"/>
        <v>6.2276194924490123E-2</v>
      </c>
      <c r="AQ60" s="4">
        <f t="shared" si="97"/>
        <v>2.448429944298219E-2</v>
      </c>
      <c r="AR60" s="4">
        <f t="shared" si="97"/>
        <v>8.3744579033946456E-3</v>
      </c>
      <c r="AS60" s="4">
        <f t="shared" si="97"/>
        <v>8.6138351444473904E-2</v>
      </c>
      <c r="AT60" s="4">
        <f t="shared" si="97"/>
        <v>1.0474966789346458</v>
      </c>
      <c r="AU60" s="4">
        <f t="shared" si="97"/>
        <v>0.36925370100613164</v>
      </c>
      <c r="AV60" s="4">
        <f t="shared" si="97"/>
        <v>0.17441297115726237</v>
      </c>
      <c r="AW60" s="4">
        <f t="shared" si="97"/>
        <v>1.1865698849888968</v>
      </c>
      <c r="AX60" s="4">
        <f t="shared" si="97"/>
        <v>0.98219766728054025</v>
      </c>
      <c r="AY60" s="4">
        <f t="shared" si="97"/>
        <v>0.22694870377374959</v>
      </c>
      <c r="AZ60" s="4">
        <f t="shared" si="97"/>
        <v>0.62363579669473024</v>
      </c>
      <c r="BA60" s="4">
        <f t="shared" si="97"/>
        <v>1.0331626769982931</v>
      </c>
      <c r="BB60" s="4">
        <f t="shared" si="97"/>
        <v>0.48461447539498054</v>
      </c>
      <c r="BC60" s="4">
        <f t="shared" si="97"/>
        <v>0.90755082284607946</v>
      </c>
      <c r="BD60" s="4">
        <f t="shared" si="97"/>
        <v>0.71666366006855053</v>
      </c>
    </row>
    <row r="61" spans="1:56" x14ac:dyDescent="0.2">
      <c r="A61" s="21"/>
      <c r="B61" s="21" t="s">
        <v>172</v>
      </c>
      <c r="C61" s="21" t="s">
        <v>8</v>
      </c>
      <c r="D61" s="21"/>
      <c r="E61" s="21"/>
      <c r="F61" s="21"/>
      <c r="G61" s="21"/>
      <c r="H61" s="21"/>
      <c r="I61" s="21">
        <v>1.2</v>
      </c>
      <c r="J61" s="21">
        <v>16</v>
      </c>
      <c r="K61" s="21">
        <v>29</v>
      </c>
      <c r="L61" s="21">
        <v>77</v>
      </c>
      <c r="M61" s="21">
        <v>600</v>
      </c>
      <c r="N61" s="24">
        <f>D61*M61</f>
        <v>0</v>
      </c>
      <c r="O61" s="21">
        <f>E61*M61</f>
        <v>0</v>
      </c>
      <c r="P61" s="21">
        <f>F61*M61</f>
        <v>0</v>
      </c>
      <c r="Q61" s="23">
        <f t="shared" si="33"/>
        <v>0</v>
      </c>
      <c r="R61" s="21">
        <f>H61*M61</f>
        <v>0</v>
      </c>
      <c r="S61" s="21">
        <f>I61*M61</f>
        <v>720</v>
      </c>
      <c r="T61" s="21">
        <f>J61*M61</f>
        <v>9600</v>
      </c>
      <c r="U61" s="21">
        <f>K61*M61</f>
        <v>17400</v>
      </c>
      <c r="V61" s="21">
        <f>L61*M61</f>
        <v>46200</v>
      </c>
      <c r="AK61">
        <v>9</v>
      </c>
      <c r="AL61" s="1" t="s">
        <v>52</v>
      </c>
      <c r="AM61" s="4">
        <f>AM26/AM31*100</f>
        <v>0</v>
      </c>
      <c r="AN61" s="4">
        <f t="shared" ref="AN61:BD61" si="98">AN26/AN31*100</f>
        <v>0</v>
      </c>
      <c r="AO61" s="4">
        <f t="shared" si="98"/>
        <v>0.40457589285714279</v>
      </c>
      <c r="AP61" s="4">
        <f t="shared" si="98"/>
        <v>0.66168457107270751</v>
      </c>
      <c r="AQ61" s="4">
        <f t="shared" si="98"/>
        <v>0.41317255310032441</v>
      </c>
      <c r="AR61" s="4">
        <f t="shared" si="98"/>
        <v>1.58875429938687</v>
      </c>
      <c r="AS61" s="4">
        <f t="shared" si="98"/>
        <v>0</v>
      </c>
      <c r="AT61" s="4">
        <f t="shared" si="98"/>
        <v>0</v>
      </c>
      <c r="AU61" s="4">
        <f t="shared" si="98"/>
        <v>0</v>
      </c>
      <c r="AV61" s="4">
        <f t="shared" si="98"/>
        <v>0</v>
      </c>
      <c r="AW61" s="4">
        <f t="shared" si="98"/>
        <v>0</v>
      </c>
      <c r="AX61" s="4">
        <f t="shared" si="98"/>
        <v>0</v>
      </c>
      <c r="AY61" s="4">
        <f t="shared" si="98"/>
        <v>0</v>
      </c>
      <c r="AZ61" s="4">
        <f t="shared" si="98"/>
        <v>0</v>
      </c>
      <c r="BA61" s="4">
        <f t="shared" si="98"/>
        <v>0</v>
      </c>
      <c r="BB61" s="4">
        <f t="shared" si="98"/>
        <v>0</v>
      </c>
      <c r="BC61" s="4">
        <f t="shared" si="98"/>
        <v>0</v>
      </c>
      <c r="BD61" s="4">
        <f t="shared" si="98"/>
        <v>0</v>
      </c>
    </row>
    <row r="62" spans="1:56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3">
        <f t="shared" si="33"/>
        <v>0</v>
      </c>
      <c r="R62" s="25"/>
      <c r="S62" s="25"/>
      <c r="T62" s="25"/>
      <c r="U62" s="25"/>
      <c r="V62" s="25"/>
      <c r="AK62">
        <v>10</v>
      </c>
      <c r="AL62" s="1" t="s">
        <v>221</v>
      </c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</row>
    <row r="63" spans="1:56" x14ac:dyDescent="0.2">
      <c r="A63" s="21" t="s">
        <v>100</v>
      </c>
      <c r="B63" s="21" t="s">
        <v>21</v>
      </c>
      <c r="C63" s="21" t="s">
        <v>9</v>
      </c>
      <c r="D63" s="21">
        <v>10.6</v>
      </c>
      <c r="E63" s="21">
        <v>11.4</v>
      </c>
      <c r="F63" s="21">
        <v>15.1</v>
      </c>
      <c r="G63" s="21">
        <v>6.7</v>
      </c>
      <c r="H63" s="21">
        <v>5</v>
      </c>
      <c r="I63" s="21">
        <v>4.3</v>
      </c>
      <c r="J63" s="21">
        <v>4.2</v>
      </c>
      <c r="K63" s="21">
        <v>2.9</v>
      </c>
      <c r="L63" s="21">
        <v>2.9</v>
      </c>
      <c r="M63" s="21">
        <v>6891.6</v>
      </c>
      <c r="N63" s="24">
        <f>D63*M63</f>
        <v>73050.960000000006</v>
      </c>
      <c r="O63" s="21">
        <f>E63*M63</f>
        <v>78564.240000000005</v>
      </c>
      <c r="P63" s="21">
        <f>F63*M63</f>
        <v>104063.16</v>
      </c>
      <c r="Q63" s="23">
        <f t="shared" si="33"/>
        <v>46173.72</v>
      </c>
      <c r="R63" s="21">
        <f>H63*M63</f>
        <v>34458</v>
      </c>
      <c r="S63" s="21">
        <f>I63*M63</f>
        <v>29633.88</v>
      </c>
      <c r="T63" s="21">
        <f>J63*M63</f>
        <v>28944.720000000001</v>
      </c>
      <c r="U63" s="21">
        <f>K63*M63</f>
        <v>19985.64</v>
      </c>
      <c r="V63" s="21">
        <f>L63*M63</f>
        <v>19985.64</v>
      </c>
      <c r="AL63" s="1" t="s">
        <v>222</v>
      </c>
      <c r="AM63" s="4">
        <f>AM28/AM31*100</f>
        <v>0</v>
      </c>
      <c r="AN63" s="4">
        <f t="shared" ref="AN63:BD63" si="99">AN28/AN31*100</f>
        <v>0.1726263871763255</v>
      </c>
      <c r="AO63" s="4">
        <f t="shared" si="99"/>
        <v>0.36272321428571425</v>
      </c>
      <c r="AP63" s="4">
        <f t="shared" si="99"/>
        <v>0.27245835279464425</v>
      </c>
      <c r="AQ63" s="4">
        <f t="shared" si="99"/>
        <v>9.7937197771928761E-2</v>
      </c>
      <c r="AR63" s="4">
        <f t="shared" si="99"/>
        <v>2.751607596829669E-2</v>
      </c>
      <c r="AS63" s="4">
        <f t="shared" si="99"/>
        <v>2.2661012456930822</v>
      </c>
      <c r="AT63" s="4">
        <f t="shared" si="99"/>
        <v>4.5689148282845888</v>
      </c>
      <c r="AU63" s="4">
        <f t="shared" si="99"/>
        <v>6.6126901317795301</v>
      </c>
      <c r="AV63" s="4">
        <f t="shared" si="99"/>
        <v>4.6994606117373472</v>
      </c>
      <c r="AW63" s="4">
        <f t="shared" si="99"/>
        <v>1.4815551357263601</v>
      </c>
      <c r="AX63" s="4">
        <f t="shared" si="99"/>
        <v>6.7794659300184152</v>
      </c>
      <c r="AY63" s="4">
        <f t="shared" si="99"/>
        <v>6.2498181500771057</v>
      </c>
      <c r="AZ63" s="4">
        <f t="shared" si="99"/>
        <v>4.3774435729533945</v>
      </c>
      <c r="BA63" s="4">
        <f t="shared" si="99"/>
        <v>6.1067293944006265</v>
      </c>
      <c r="BB63" s="4">
        <f t="shared" si="99"/>
        <v>4.3792600764351288</v>
      </c>
      <c r="BC63" s="4">
        <f t="shared" si="99"/>
        <v>4.6293735306320016</v>
      </c>
      <c r="BD63" s="4">
        <f t="shared" si="99"/>
        <v>4.4508585204257347</v>
      </c>
    </row>
    <row r="64" spans="1:56" x14ac:dyDescent="0.2">
      <c r="A64" s="21"/>
      <c r="B64" s="21" t="s">
        <v>94</v>
      </c>
      <c r="C64" s="21"/>
      <c r="D64" s="21"/>
      <c r="E64" s="21"/>
      <c r="F64" s="21"/>
      <c r="G64" s="21"/>
      <c r="H64" s="21"/>
      <c r="I64" s="21"/>
      <c r="J64" s="21">
        <v>1</v>
      </c>
      <c r="K64" s="21"/>
      <c r="L64" s="21">
        <v>0.8</v>
      </c>
      <c r="M64" s="21">
        <v>192.4</v>
      </c>
      <c r="N64" s="24">
        <f>D64*M64</f>
        <v>0</v>
      </c>
      <c r="O64" s="21">
        <f>E64*M64</f>
        <v>0</v>
      </c>
      <c r="P64" s="21">
        <f>F64*M64</f>
        <v>0</v>
      </c>
      <c r="Q64" s="23">
        <f t="shared" si="33"/>
        <v>0</v>
      </c>
      <c r="R64" s="21">
        <f>H64*M64</f>
        <v>0</v>
      </c>
      <c r="S64" s="21">
        <f>I64*M64</f>
        <v>0</v>
      </c>
      <c r="T64" s="21">
        <f>J64*M64</f>
        <v>192.4</v>
      </c>
      <c r="U64" s="21">
        <f>K64*M64</f>
        <v>0</v>
      </c>
      <c r="V64" s="21">
        <f>L64*M64</f>
        <v>153.92000000000002</v>
      </c>
      <c r="AK64">
        <v>11</v>
      </c>
      <c r="AL64" s="1" t="s">
        <v>53</v>
      </c>
      <c r="AM64" s="4">
        <f>AM29/AM31*100</f>
        <v>0</v>
      </c>
      <c r="AN64" s="4">
        <f t="shared" ref="AN64:BD64" si="100">AN29/AN31*100</f>
        <v>0</v>
      </c>
      <c r="AO64" s="4">
        <f t="shared" si="100"/>
        <v>0</v>
      </c>
      <c r="AP64" s="4">
        <f t="shared" si="100"/>
        <v>0</v>
      </c>
      <c r="AQ64" s="4">
        <f t="shared" si="100"/>
        <v>0</v>
      </c>
      <c r="AR64" s="4">
        <f t="shared" si="100"/>
        <v>0</v>
      </c>
      <c r="AS64" s="4">
        <f t="shared" si="100"/>
        <v>0.69573283858998147</v>
      </c>
      <c r="AT64" s="4">
        <f t="shared" si="100"/>
        <v>0.76221172063851572</v>
      </c>
      <c r="AU64" s="4">
        <f t="shared" si="100"/>
        <v>1.9987126935194282</v>
      </c>
      <c r="AV64" s="4">
        <f t="shared" si="100"/>
        <v>2.0057491683085171</v>
      </c>
      <c r="AW64" s="4">
        <f t="shared" si="100"/>
        <v>1.9522057604984921</v>
      </c>
      <c r="AX64" s="4">
        <f t="shared" si="100"/>
        <v>2.5245549416820134</v>
      </c>
      <c r="AY64" s="4">
        <f t="shared" si="100"/>
        <v>1.7748552474613752</v>
      </c>
      <c r="AZ64" s="4">
        <f t="shared" si="100"/>
        <v>1.527907701902089</v>
      </c>
      <c r="BA64" s="4">
        <f t="shared" si="100"/>
        <v>1.6558276832249432</v>
      </c>
      <c r="BB64" s="4">
        <f t="shared" si="100"/>
        <v>1.4755131791497578</v>
      </c>
      <c r="BC64" s="4">
        <f t="shared" si="100"/>
        <v>1.2930438390264141</v>
      </c>
      <c r="BD64" s="4">
        <f t="shared" si="100"/>
        <v>1.2890106105580792</v>
      </c>
    </row>
    <row r="65" spans="1:91" x14ac:dyDescent="0.2">
      <c r="A65" s="25"/>
      <c r="B65" s="25" t="s">
        <v>95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3">
        <f t="shared" si="33"/>
        <v>0</v>
      </c>
      <c r="R65" s="25"/>
      <c r="S65" s="25"/>
      <c r="T65" s="25"/>
      <c r="U65" s="25"/>
      <c r="V65" s="25"/>
      <c r="AL65" s="1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</row>
    <row r="66" spans="1:91" x14ac:dyDescent="0.2">
      <c r="A66" s="21" t="s">
        <v>101</v>
      </c>
      <c r="B66" s="21" t="s">
        <v>63</v>
      </c>
      <c r="C66" s="21" t="s">
        <v>64</v>
      </c>
      <c r="D66" s="21">
        <v>67.7</v>
      </c>
      <c r="E66" s="21">
        <v>94.7</v>
      </c>
      <c r="F66" s="21">
        <v>129</v>
      </c>
      <c r="G66" s="21">
        <v>90.1</v>
      </c>
      <c r="H66" s="21">
        <v>27.1</v>
      </c>
      <c r="I66" s="21">
        <v>104.5</v>
      </c>
      <c r="J66" s="21">
        <v>151.19999999999999</v>
      </c>
      <c r="K66" s="21">
        <v>60.1</v>
      </c>
      <c r="L66" s="21">
        <v>64.099999999999994</v>
      </c>
      <c r="M66" s="21">
        <v>1500</v>
      </c>
      <c r="N66" s="22">
        <f t="shared" ref="N66:N72" si="101">D66*M66</f>
        <v>101550</v>
      </c>
      <c r="O66" s="23">
        <f t="shared" ref="O66:O72" si="102">E66*M66</f>
        <v>142050</v>
      </c>
      <c r="P66" s="23">
        <f t="shared" ref="P66:P72" si="103">F66*M66</f>
        <v>193500</v>
      </c>
      <c r="Q66" s="23">
        <f t="shared" si="33"/>
        <v>135150</v>
      </c>
      <c r="R66" s="23">
        <f t="shared" ref="R66:R72" si="104">H66*M66</f>
        <v>40650</v>
      </c>
      <c r="S66" s="23">
        <f t="shared" ref="S66:S72" si="105">I66*M66</f>
        <v>156750</v>
      </c>
      <c r="T66" s="23">
        <f t="shared" ref="T66:T72" si="106">J66*M66</f>
        <v>226799.99999999997</v>
      </c>
      <c r="U66" s="23">
        <f t="shared" ref="U66:U72" si="107">K66*M66</f>
        <v>90150</v>
      </c>
      <c r="V66" s="23">
        <f t="shared" ref="V66:V72" si="108">L66*M66</f>
        <v>96149.999999999985</v>
      </c>
      <c r="AL66" t="s">
        <v>223</v>
      </c>
      <c r="AM66" s="4">
        <f>SUM(AM40:AM64)</f>
        <v>100</v>
      </c>
      <c r="AN66" s="4">
        <f t="shared" ref="AN66:BD66" si="109">SUM(AN40:AN64)</f>
        <v>99.999999999999972</v>
      </c>
      <c r="AO66" s="4">
        <f t="shared" si="109"/>
        <v>100.40457589285711</v>
      </c>
      <c r="AP66" s="4">
        <f t="shared" si="109"/>
        <v>100.66168457107273</v>
      </c>
      <c r="AQ66" s="4">
        <f t="shared" si="109"/>
        <v>100.41317255310031</v>
      </c>
      <c r="AR66" s="4">
        <f t="shared" si="109"/>
        <v>101.58875429938685</v>
      </c>
      <c r="AS66" s="4">
        <f t="shared" si="109"/>
        <v>100</v>
      </c>
      <c r="AT66" s="4">
        <f t="shared" si="109"/>
        <v>100.00000000000003</v>
      </c>
      <c r="AU66" s="4">
        <f t="shared" si="109"/>
        <v>99.999999999999986</v>
      </c>
      <c r="AV66" s="4">
        <f t="shared" si="109"/>
        <v>100</v>
      </c>
      <c r="AW66" s="4">
        <f t="shared" si="109"/>
        <v>100</v>
      </c>
      <c r="AX66" s="4">
        <f t="shared" si="109"/>
        <v>100</v>
      </c>
      <c r="AY66" s="4">
        <f t="shared" si="109"/>
        <v>100</v>
      </c>
      <c r="AZ66" s="4">
        <f t="shared" si="109"/>
        <v>100</v>
      </c>
      <c r="BA66" s="4">
        <f t="shared" si="109"/>
        <v>99.999999999999986</v>
      </c>
      <c r="BB66" s="4">
        <f t="shared" si="109"/>
        <v>99.996060044915495</v>
      </c>
      <c r="BC66" s="4">
        <f t="shared" si="109"/>
        <v>100</v>
      </c>
      <c r="BD66" s="4">
        <f t="shared" si="109"/>
        <v>100.00000000000001</v>
      </c>
    </row>
    <row r="67" spans="1:91" x14ac:dyDescent="0.2">
      <c r="A67" s="21" t="s">
        <v>182</v>
      </c>
      <c r="B67" s="21" t="s">
        <v>63</v>
      </c>
      <c r="C67" s="21" t="s">
        <v>64</v>
      </c>
      <c r="D67" s="21"/>
      <c r="E67" s="21"/>
      <c r="F67" s="21"/>
      <c r="G67" s="21"/>
      <c r="H67" s="21"/>
      <c r="I67" s="21"/>
      <c r="J67" s="21">
        <v>21.6</v>
      </c>
      <c r="K67" s="21">
        <v>51</v>
      </c>
      <c r="L67" s="21">
        <v>56.5</v>
      </c>
      <c r="M67" s="21">
        <v>1500</v>
      </c>
      <c r="N67" s="22">
        <f t="shared" si="101"/>
        <v>0</v>
      </c>
      <c r="O67" s="23">
        <f t="shared" si="102"/>
        <v>0</v>
      </c>
      <c r="P67" s="23">
        <f t="shared" si="103"/>
        <v>0</v>
      </c>
      <c r="Q67" s="23">
        <f t="shared" si="33"/>
        <v>0</v>
      </c>
      <c r="R67" s="23">
        <f t="shared" si="104"/>
        <v>0</v>
      </c>
      <c r="S67" s="23">
        <f t="shared" si="105"/>
        <v>0</v>
      </c>
      <c r="T67" s="23">
        <f t="shared" si="106"/>
        <v>32400.000000000004</v>
      </c>
      <c r="U67" s="23">
        <f t="shared" si="107"/>
        <v>76500</v>
      </c>
      <c r="V67" s="23">
        <f t="shared" si="108"/>
        <v>84750</v>
      </c>
    </row>
    <row r="68" spans="1:91" x14ac:dyDescent="0.2">
      <c r="A68" s="21" t="s">
        <v>126</v>
      </c>
      <c r="B68" s="21" t="s">
        <v>127</v>
      </c>
      <c r="C68" s="21" t="s">
        <v>3</v>
      </c>
      <c r="D68" s="21">
        <v>350</v>
      </c>
      <c r="E68" s="21"/>
      <c r="F68" s="21"/>
      <c r="G68" s="21"/>
      <c r="H68" s="21"/>
      <c r="I68" s="21"/>
      <c r="J68" s="21"/>
      <c r="K68" s="21"/>
      <c r="L68" s="21"/>
      <c r="M68" s="21">
        <v>1</v>
      </c>
      <c r="N68" s="22">
        <f t="shared" si="101"/>
        <v>350</v>
      </c>
      <c r="O68" s="23">
        <f t="shared" si="102"/>
        <v>0</v>
      </c>
      <c r="P68" s="23">
        <f t="shared" si="103"/>
        <v>0</v>
      </c>
      <c r="Q68" s="23">
        <f t="shared" si="33"/>
        <v>0</v>
      </c>
      <c r="R68" s="23">
        <f t="shared" si="104"/>
        <v>0</v>
      </c>
      <c r="S68" s="23">
        <f t="shared" si="105"/>
        <v>0</v>
      </c>
      <c r="T68" s="23">
        <f t="shared" si="106"/>
        <v>0</v>
      </c>
      <c r="U68" s="23">
        <f t="shared" si="107"/>
        <v>0</v>
      </c>
      <c r="V68" s="23">
        <f t="shared" si="108"/>
        <v>0</v>
      </c>
    </row>
    <row r="69" spans="1:91" x14ac:dyDescent="0.2">
      <c r="A69" s="21" t="s">
        <v>102</v>
      </c>
      <c r="B69" s="21" t="s">
        <v>103</v>
      </c>
      <c r="C69" s="21" t="s">
        <v>104</v>
      </c>
      <c r="D69" s="21">
        <v>218.3</v>
      </c>
      <c r="E69" s="21">
        <v>181.8</v>
      </c>
      <c r="F69" s="21">
        <v>356.2</v>
      </c>
      <c r="G69" s="21">
        <v>399.8</v>
      </c>
      <c r="H69" s="21">
        <v>408.2</v>
      </c>
      <c r="I69" s="21">
        <v>456.2</v>
      </c>
      <c r="J69" s="21">
        <v>422.7</v>
      </c>
      <c r="K69" s="21">
        <v>441.8</v>
      </c>
      <c r="L69" s="21">
        <v>497.9</v>
      </c>
      <c r="M69" s="21">
        <v>144.30000000000001</v>
      </c>
      <c r="N69" s="22">
        <f t="shared" si="101"/>
        <v>31500.690000000002</v>
      </c>
      <c r="O69" s="23">
        <f t="shared" si="102"/>
        <v>26233.740000000005</v>
      </c>
      <c r="P69" s="23">
        <f t="shared" si="103"/>
        <v>51399.66</v>
      </c>
      <c r="Q69" s="23">
        <f t="shared" si="33"/>
        <v>57691.140000000007</v>
      </c>
      <c r="R69" s="23">
        <f t="shared" si="104"/>
        <v>58903.26</v>
      </c>
      <c r="S69" s="23">
        <f t="shared" si="105"/>
        <v>65829.66</v>
      </c>
      <c r="T69" s="23">
        <f t="shared" si="106"/>
        <v>60995.61</v>
      </c>
      <c r="U69" s="23">
        <f t="shared" si="107"/>
        <v>63751.740000000005</v>
      </c>
      <c r="V69" s="23">
        <f t="shared" si="108"/>
        <v>71846.97</v>
      </c>
      <c r="AM69" s="170">
        <v>1940</v>
      </c>
      <c r="AN69" s="170">
        <v>1950</v>
      </c>
      <c r="AO69" s="170">
        <v>1960</v>
      </c>
      <c r="AP69" s="170">
        <v>1970</v>
      </c>
      <c r="AQ69" s="170">
        <v>1980</v>
      </c>
      <c r="AR69" s="170">
        <v>1990</v>
      </c>
      <c r="AS69" s="153">
        <v>2000</v>
      </c>
      <c r="AT69" s="153">
        <v>2001</v>
      </c>
      <c r="AU69" s="153">
        <v>2002</v>
      </c>
      <c r="AV69" s="153">
        <v>2003</v>
      </c>
      <c r="AW69" s="153">
        <v>2004</v>
      </c>
      <c r="AX69" s="153">
        <v>2005</v>
      </c>
      <c r="AY69" s="153">
        <v>2006</v>
      </c>
      <c r="AZ69" s="153">
        <v>2007</v>
      </c>
      <c r="BA69" s="153">
        <v>2008</v>
      </c>
      <c r="BB69" s="152">
        <v>2009</v>
      </c>
      <c r="BC69" s="29"/>
      <c r="BD69" s="29"/>
    </row>
    <row r="70" spans="1:91" x14ac:dyDescent="0.2">
      <c r="A70" s="21" t="s">
        <v>105</v>
      </c>
      <c r="B70" s="21" t="s">
        <v>23</v>
      </c>
      <c r="C70" s="21" t="s">
        <v>25</v>
      </c>
      <c r="D70" s="21"/>
      <c r="E70" s="21">
        <v>554</v>
      </c>
      <c r="F70" s="21">
        <v>0.1</v>
      </c>
      <c r="G70" s="21">
        <v>0.1</v>
      </c>
      <c r="H70" s="21">
        <v>0.4</v>
      </c>
      <c r="I70" s="21">
        <v>0.3</v>
      </c>
      <c r="J70" s="21">
        <v>0.1</v>
      </c>
      <c r="K70" s="21">
        <v>300</v>
      </c>
      <c r="L70" s="21">
        <v>534.9</v>
      </c>
      <c r="M70" s="21">
        <v>65</v>
      </c>
      <c r="N70" s="24">
        <f t="shared" si="101"/>
        <v>0</v>
      </c>
      <c r="O70" s="21">
        <f t="shared" si="102"/>
        <v>36010</v>
      </c>
      <c r="P70" s="21">
        <f t="shared" si="103"/>
        <v>6.5</v>
      </c>
      <c r="Q70" s="23">
        <f t="shared" si="33"/>
        <v>6.5</v>
      </c>
      <c r="R70" s="21">
        <f t="shared" si="104"/>
        <v>26</v>
      </c>
      <c r="S70" s="21">
        <f t="shared" si="105"/>
        <v>19.5</v>
      </c>
      <c r="T70" s="21">
        <f t="shared" si="106"/>
        <v>6.5</v>
      </c>
      <c r="U70" s="21">
        <f t="shared" si="107"/>
        <v>19500</v>
      </c>
      <c r="V70" s="21">
        <f t="shared" si="108"/>
        <v>34768.5</v>
      </c>
      <c r="AM70" s="170"/>
      <c r="AN70" s="170"/>
      <c r="AO70" s="170"/>
      <c r="AP70" s="170"/>
      <c r="AQ70" s="170"/>
      <c r="AR70" s="170"/>
      <c r="AS70" s="153"/>
      <c r="AT70" s="153"/>
      <c r="AU70" s="153"/>
      <c r="AV70" s="153"/>
      <c r="AW70" s="153"/>
      <c r="AX70" s="153"/>
      <c r="AY70" s="153"/>
      <c r="AZ70" s="153"/>
      <c r="BA70" s="153"/>
      <c r="BB70" s="152"/>
      <c r="BC70" s="29"/>
      <c r="BD70" s="29"/>
    </row>
    <row r="71" spans="1:91" x14ac:dyDescent="0.2">
      <c r="A71" s="21"/>
      <c r="B71" s="21" t="s">
        <v>163</v>
      </c>
      <c r="C71" s="21"/>
      <c r="D71" s="21"/>
      <c r="E71" s="21"/>
      <c r="F71" s="21"/>
      <c r="G71" s="21">
        <v>20</v>
      </c>
      <c r="H71" s="21">
        <v>12</v>
      </c>
      <c r="I71" s="21"/>
      <c r="J71" s="21"/>
      <c r="K71" s="21"/>
      <c r="L71" s="21"/>
      <c r="M71" s="21">
        <v>120</v>
      </c>
      <c r="N71" s="24">
        <f t="shared" si="101"/>
        <v>0</v>
      </c>
      <c r="O71" s="21">
        <f t="shared" si="102"/>
        <v>0</v>
      </c>
      <c r="P71" s="21">
        <f t="shared" si="103"/>
        <v>0</v>
      </c>
      <c r="Q71" s="23">
        <f t="shared" si="33"/>
        <v>2400</v>
      </c>
      <c r="R71" s="21">
        <f t="shared" si="104"/>
        <v>1440</v>
      </c>
      <c r="S71" s="21">
        <f t="shared" si="105"/>
        <v>0</v>
      </c>
      <c r="T71" s="21">
        <f t="shared" si="106"/>
        <v>0</v>
      </c>
      <c r="U71" s="21">
        <f t="shared" si="107"/>
        <v>0</v>
      </c>
      <c r="V71" s="21">
        <f t="shared" si="108"/>
        <v>0</v>
      </c>
      <c r="AL71" s="1" t="s">
        <v>208</v>
      </c>
      <c r="AM71" s="1">
        <v>0</v>
      </c>
      <c r="AN71" s="1">
        <v>0</v>
      </c>
      <c r="AO71" s="1">
        <v>83.7</v>
      </c>
      <c r="AP71" s="1">
        <v>1023.6</v>
      </c>
      <c r="AQ71" s="1">
        <v>2549.1999999999998</v>
      </c>
      <c r="AR71" s="1">
        <v>7844.1</v>
      </c>
      <c r="AS71" s="21">
        <v>169.1</v>
      </c>
      <c r="AT71" s="21">
        <v>181.2</v>
      </c>
      <c r="AU71" s="21">
        <v>194.5</v>
      </c>
      <c r="AV71" s="21">
        <v>171.5</v>
      </c>
      <c r="AW71" s="21">
        <v>126.4</v>
      </c>
      <c r="AX71" s="21">
        <v>57.8</v>
      </c>
      <c r="AY71" s="21">
        <v>57.8</v>
      </c>
      <c r="AZ71" s="21">
        <v>46.2</v>
      </c>
      <c r="BA71" s="21">
        <v>18.7</v>
      </c>
      <c r="BB71" s="1">
        <v>0</v>
      </c>
      <c r="BC71" s="1"/>
      <c r="BD71" s="1"/>
    </row>
    <row r="72" spans="1:91" x14ac:dyDescent="0.2">
      <c r="A72" s="21"/>
      <c r="B72" s="21" t="s">
        <v>24</v>
      </c>
      <c r="C72" s="21" t="s">
        <v>25</v>
      </c>
      <c r="D72" s="21"/>
      <c r="E72" s="21">
        <v>146</v>
      </c>
      <c r="F72" s="21"/>
      <c r="G72" s="21"/>
      <c r="H72" s="21"/>
      <c r="I72" s="21"/>
      <c r="J72" s="21"/>
      <c r="K72" s="21"/>
      <c r="L72" s="21"/>
      <c r="M72" s="21"/>
      <c r="N72" s="24">
        <f t="shared" si="101"/>
        <v>0</v>
      </c>
      <c r="O72" s="21">
        <f t="shared" si="102"/>
        <v>0</v>
      </c>
      <c r="P72" s="21">
        <f t="shared" si="103"/>
        <v>0</v>
      </c>
      <c r="Q72" s="23">
        <f t="shared" si="33"/>
        <v>0</v>
      </c>
      <c r="R72" s="21">
        <f t="shared" si="104"/>
        <v>0</v>
      </c>
      <c r="S72" s="21">
        <f t="shared" si="105"/>
        <v>0</v>
      </c>
      <c r="T72" s="21">
        <f t="shared" si="106"/>
        <v>0</v>
      </c>
      <c r="U72" s="21">
        <f t="shared" si="107"/>
        <v>0</v>
      </c>
      <c r="V72" s="21">
        <f t="shared" si="108"/>
        <v>0</v>
      </c>
      <c r="AL72" s="1" t="s">
        <v>209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1652.3</v>
      </c>
      <c r="AS72" s="21">
        <v>540.70000000000005</v>
      </c>
      <c r="AT72" s="21">
        <v>594.20000000000005</v>
      </c>
      <c r="AU72" s="21">
        <v>603.79999999999995</v>
      </c>
      <c r="AV72" s="21">
        <v>14.7</v>
      </c>
      <c r="AW72" s="21">
        <v>727.4</v>
      </c>
      <c r="AX72" s="21">
        <v>715</v>
      </c>
      <c r="AY72" s="21">
        <v>757.6</v>
      </c>
      <c r="AZ72" s="21">
        <v>871.5</v>
      </c>
      <c r="BA72" s="21">
        <v>855</v>
      </c>
      <c r="BB72" s="1">
        <v>936</v>
      </c>
      <c r="BC72" s="1"/>
      <c r="BD72" s="1"/>
    </row>
    <row r="73" spans="1:91" x14ac:dyDescent="0.2">
      <c r="A73" s="25"/>
      <c r="B73" s="25" t="s">
        <v>95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3">
        <f t="shared" si="33"/>
        <v>0</v>
      </c>
      <c r="R73" s="25"/>
      <c r="S73" s="25"/>
      <c r="T73" s="25"/>
      <c r="U73" s="25"/>
      <c r="V73" s="25"/>
      <c r="AL73" s="1" t="s">
        <v>50</v>
      </c>
      <c r="AM73" s="1">
        <v>0</v>
      </c>
      <c r="AN73" s="1">
        <v>0</v>
      </c>
      <c r="AO73" s="1">
        <v>68.900000000000006</v>
      </c>
      <c r="AP73" s="1">
        <v>162.6</v>
      </c>
      <c r="AQ73" s="1">
        <v>525.79999999999995</v>
      </c>
      <c r="AR73" s="1">
        <v>1467.9</v>
      </c>
      <c r="AS73" s="21">
        <v>288.10000000000002</v>
      </c>
      <c r="AT73" s="21">
        <v>388</v>
      </c>
      <c r="AU73" s="21">
        <v>401</v>
      </c>
      <c r="AV73" s="21">
        <v>14.3</v>
      </c>
      <c r="AW73" s="21">
        <v>275.60000000000002</v>
      </c>
      <c r="AX73" s="21">
        <v>277.7</v>
      </c>
      <c r="AY73" s="21">
        <v>277.2</v>
      </c>
      <c r="AZ73" s="21">
        <v>281.8</v>
      </c>
      <c r="BA73" s="21">
        <v>353.5</v>
      </c>
      <c r="BB73" s="1">
        <v>372.1</v>
      </c>
      <c r="BC73" s="1"/>
      <c r="BD73" s="1"/>
    </row>
    <row r="74" spans="1:91" x14ac:dyDescent="0.2">
      <c r="A74" s="21" t="s">
        <v>106</v>
      </c>
      <c r="B74" s="21" t="s">
        <v>32</v>
      </c>
      <c r="C74" s="21" t="s">
        <v>9</v>
      </c>
      <c r="D74" s="21"/>
      <c r="E74" s="21">
        <v>12.6</v>
      </c>
      <c r="F74" s="21">
        <v>12.6</v>
      </c>
      <c r="G74" s="21">
        <v>15</v>
      </c>
      <c r="H74" s="21"/>
      <c r="I74" s="21"/>
      <c r="J74" s="21">
        <v>3</v>
      </c>
      <c r="K74" s="21">
        <v>5</v>
      </c>
      <c r="L74" s="21">
        <v>2.5</v>
      </c>
      <c r="M74" s="21">
        <v>200</v>
      </c>
      <c r="N74" s="22">
        <f>D74*M74</f>
        <v>0</v>
      </c>
      <c r="O74" s="23">
        <f>E74*M74</f>
        <v>2520</v>
      </c>
      <c r="P74" s="23">
        <f>F74*M74</f>
        <v>2520</v>
      </c>
      <c r="Q74" s="23">
        <f t="shared" si="33"/>
        <v>3000</v>
      </c>
      <c r="R74" s="23">
        <f>H74*M74</f>
        <v>0</v>
      </c>
      <c r="S74" s="23">
        <f>I74*M74</f>
        <v>0</v>
      </c>
      <c r="T74" s="23">
        <f>J74*M74</f>
        <v>600</v>
      </c>
      <c r="U74" s="23">
        <f>K74*M74</f>
        <v>1000</v>
      </c>
      <c r="V74" s="23">
        <f>L74*M74</f>
        <v>500</v>
      </c>
      <c r="AL74" s="1" t="s">
        <v>210</v>
      </c>
      <c r="AM74" s="1"/>
      <c r="AN74" s="1"/>
      <c r="AO74" s="1"/>
      <c r="AP74" s="1"/>
      <c r="AQ74" s="1"/>
      <c r="AR74" s="1"/>
      <c r="AS74" s="21"/>
      <c r="AT74" s="21"/>
      <c r="AU74" s="21"/>
      <c r="AV74" s="21"/>
      <c r="AW74" s="21"/>
      <c r="AX74" s="21"/>
      <c r="AY74" s="21"/>
      <c r="AZ74" s="21"/>
      <c r="BA74" s="21"/>
    </row>
    <row r="75" spans="1:91" x14ac:dyDescent="0.2">
      <c r="A75" s="21" t="s">
        <v>124</v>
      </c>
      <c r="B75" s="21" t="s">
        <v>46</v>
      </c>
      <c r="C75" s="21" t="s">
        <v>8</v>
      </c>
      <c r="D75" s="21">
        <v>6</v>
      </c>
      <c r="E75" s="21"/>
      <c r="F75" s="21"/>
      <c r="G75" s="21"/>
      <c r="H75" s="21"/>
      <c r="I75" s="21"/>
      <c r="J75" s="21"/>
      <c r="K75" s="21"/>
      <c r="L75" s="21"/>
      <c r="M75" s="21"/>
      <c r="N75" s="24">
        <f>D75*M75</f>
        <v>0</v>
      </c>
      <c r="O75" s="21">
        <f>E75*M75</f>
        <v>0</v>
      </c>
      <c r="P75" s="21">
        <f>F75*M75</f>
        <v>0</v>
      </c>
      <c r="Q75" s="23">
        <f t="shared" si="33"/>
        <v>0</v>
      </c>
      <c r="R75" s="21">
        <f>H75*M75</f>
        <v>0</v>
      </c>
      <c r="S75" s="21">
        <f>I75*M75</f>
        <v>0</v>
      </c>
      <c r="T75" s="21">
        <f>J75*M75</f>
        <v>0</v>
      </c>
      <c r="U75" s="21">
        <f>K75*M75</f>
        <v>0</v>
      </c>
      <c r="V75" s="21">
        <f>L75*M75</f>
        <v>0</v>
      </c>
      <c r="AL75" s="1" t="s">
        <v>211</v>
      </c>
      <c r="AM75" s="1"/>
      <c r="AN75" s="1"/>
      <c r="AO75" s="1"/>
      <c r="AP75" s="1"/>
      <c r="AQ75" s="1"/>
      <c r="AR75" s="1"/>
      <c r="AS75" s="21">
        <v>2987.1</v>
      </c>
      <c r="AT75" s="21">
        <v>2400.3000000000002</v>
      </c>
      <c r="AU75" s="21">
        <v>668.1</v>
      </c>
      <c r="AV75" s="21">
        <v>30.7</v>
      </c>
      <c r="AW75" s="21">
        <v>849.3</v>
      </c>
      <c r="AX75" s="21">
        <v>551.20000000000005</v>
      </c>
      <c r="AY75" s="21">
        <v>415.8</v>
      </c>
      <c r="AZ75" s="21">
        <v>487.7</v>
      </c>
      <c r="BA75" s="21">
        <v>280.3</v>
      </c>
      <c r="BB75" s="1">
        <v>308.3</v>
      </c>
      <c r="BC75" s="1"/>
      <c r="BD75" s="1"/>
    </row>
    <row r="76" spans="1:91" x14ac:dyDescent="0.2">
      <c r="A76" s="21"/>
      <c r="B76" s="21" t="s">
        <v>34</v>
      </c>
      <c r="C76" s="21" t="s">
        <v>7</v>
      </c>
      <c r="D76" s="21">
        <v>1</v>
      </c>
      <c r="E76" s="21"/>
      <c r="F76" s="21"/>
      <c r="G76" s="21"/>
      <c r="H76" s="21"/>
      <c r="I76" s="21"/>
      <c r="J76" s="21"/>
      <c r="K76" s="21"/>
      <c r="L76" s="21"/>
      <c r="M76" s="21">
        <v>30</v>
      </c>
      <c r="N76" s="24">
        <f>D76*M76</f>
        <v>30</v>
      </c>
      <c r="O76" s="21">
        <f>E76*M76</f>
        <v>0</v>
      </c>
      <c r="P76" s="21">
        <f>F76*M76</f>
        <v>0</v>
      </c>
      <c r="Q76" s="23">
        <f t="shared" si="33"/>
        <v>0</v>
      </c>
      <c r="R76" s="21">
        <f>H76*M76</f>
        <v>0</v>
      </c>
      <c r="S76" s="21">
        <f>I76*M76</f>
        <v>0</v>
      </c>
      <c r="T76" s="21">
        <f>J76*M76</f>
        <v>0</v>
      </c>
      <c r="U76" s="21">
        <f>K76*M76</f>
        <v>0</v>
      </c>
      <c r="V76" s="21">
        <f>L76*M76</f>
        <v>0</v>
      </c>
      <c r="AL76" s="1" t="s">
        <v>212</v>
      </c>
      <c r="AM76" s="1"/>
      <c r="AN76" s="1"/>
      <c r="AO76" s="1"/>
      <c r="AP76" s="1"/>
      <c r="AQ76" s="1"/>
      <c r="AR76" s="1"/>
      <c r="AS76" s="21"/>
      <c r="AT76" s="21"/>
      <c r="AU76" s="21"/>
      <c r="AV76" s="21"/>
      <c r="AW76" s="21"/>
      <c r="AX76" s="21"/>
      <c r="AY76" s="21"/>
      <c r="AZ76" s="21"/>
      <c r="BA76" s="21"/>
    </row>
    <row r="77" spans="1:91" x14ac:dyDescent="0.2">
      <c r="A77" s="21"/>
      <c r="B77" s="21" t="s">
        <v>45</v>
      </c>
      <c r="C77" s="21" t="s">
        <v>54</v>
      </c>
      <c r="D77" s="21"/>
      <c r="E77" s="21"/>
      <c r="F77" s="21"/>
      <c r="G77" s="21"/>
      <c r="H77" s="21">
        <v>0.4</v>
      </c>
      <c r="I77" s="21"/>
      <c r="J77" s="21">
        <v>0.7</v>
      </c>
      <c r="K77" s="21">
        <v>0.6</v>
      </c>
      <c r="L77" s="21">
        <v>0.9</v>
      </c>
      <c r="M77" s="21">
        <v>5500</v>
      </c>
      <c r="N77" s="24">
        <f>D77*M77</f>
        <v>0</v>
      </c>
      <c r="O77" s="21">
        <f>E77*M77</f>
        <v>0</v>
      </c>
      <c r="P77" s="21">
        <f>F77*M77</f>
        <v>0</v>
      </c>
      <c r="Q77" s="23">
        <f t="shared" si="33"/>
        <v>0</v>
      </c>
      <c r="R77" s="21">
        <f>H77*M77</f>
        <v>2200</v>
      </c>
      <c r="S77" s="21">
        <f>I77*M77</f>
        <v>0</v>
      </c>
      <c r="T77" s="21">
        <f>J77*M77</f>
        <v>3849.9999999999995</v>
      </c>
      <c r="U77" s="21">
        <f>K77*M77</f>
        <v>3300</v>
      </c>
      <c r="V77" s="21">
        <f>L77*M77</f>
        <v>4950</v>
      </c>
      <c r="AL77" s="1" t="s">
        <v>213</v>
      </c>
      <c r="AM77" s="1">
        <v>80.599999999999994</v>
      </c>
      <c r="AN77" s="1">
        <v>402.3</v>
      </c>
      <c r="AO77" s="1">
        <v>1251.5</v>
      </c>
      <c r="AP77" s="1">
        <v>1342.3</v>
      </c>
      <c r="AQ77" s="1">
        <v>2960</v>
      </c>
      <c r="AR77" s="1">
        <v>4925.3</v>
      </c>
      <c r="AS77" s="21">
        <v>400.2</v>
      </c>
      <c r="AT77" s="21">
        <v>722.6</v>
      </c>
      <c r="AU77" s="21">
        <v>815.9</v>
      </c>
      <c r="AV77" s="21">
        <v>242.8</v>
      </c>
      <c r="AW77" s="21">
        <v>885.3</v>
      </c>
      <c r="AX77" s="21">
        <v>703.5</v>
      </c>
      <c r="AY77" s="21">
        <v>1569.6</v>
      </c>
      <c r="AZ77" s="21">
        <v>2100</v>
      </c>
      <c r="BA77" s="21">
        <v>2257.3000000000002</v>
      </c>
      <c r="BB77" s="1">
        <v>3017.1</v>
      </c>
      <c r="BC77" s="1"/>
      <c r="BD77" s="1"/>
    </row>
    <row r="78" spans="1:91" x14ac:dyDescent="0.2">
      <c r="A78" s="21"/>
      <c r="B78" s="21" t="s">
        <v>4</v>
      </c>
      <c r="C78" s="21" t="s">
        <v>33</v>
      </c>
      <c r="D78" s="21">
        <v>37</v>
      </c>
      <c r="E78" s="21"/>
      <c r="F78" s="21"/>
      <c r="G78" s="21"/>
      <c r="H78" s="21"/>
      <c r="I78" s="21"/>
      <c r="J78" s="21"/>
      <c r="K78" s="21"/>
      <c r="L78" s="21"/>
      <c r="M78" s="21">
        <v>23</v>
      </c>
      <c r="N78" s="24">
        <f>D78*M78</f>
        <v>851</v>
      </c>
      <c r="O78" s="21">
        <f>E78*M78</f>
        <v>0</v>
      </c>
      <c r="P78" s="21">
        <f>F78*M78</f>
        <v>0</v>
      </c>
      <c r="Q78" s="23">
        <f t="shared" si="33"/>
        <v>0</v>
      </c>
      <c r="R78" s="21">
        <f>H78*M78</f>
        <v>0</v>
      </c>
      <c r="S78" s="21">
        <f>I78*M78</f>
        <v>0</v>
      </c>
      <c r="T78" s="21">
        <f>J78*M78</f>
        <v>0</v>
      </c>
      <c r="U78" s="21">
        <f>K78*M78</f>
        <v>0</v>
      </c>
      <c r="V78" s="21">
        <f>L78*M78</f>
        <v>0</v>
      </c>
      <c r="AL78" s="1" t="s">
        <v>221</v>
      </c>
      <c r="AM78" s="1"/>
      <c r="AN78" s="1"/>
      <c r="AO78" s="1"/>
      <c r="AP78" s="1"/>
      <c r="AQ78" s="1"/>
      <c r="AR78" s="1"/>
      <c r="AS78" s="21"/>
      <c r="AT78" s="21"/>
      <c r="AU78" s="21"/>
      <c r="AV78" s="21"/>
      <c r="AW78" s="21"/>
      <c r="AX78" s="21"/>
      <c r="AY78" s="21"/>
      <c r="AZ78" s="21"/>
      <c r="BA78" s="21"/>
      <c r="BR78" s="1"/>
    </row>
    <row r="79" spans="1:91" x14ac:dyDescent="0.2">
      <c r="A79" s="26"/>
      <c r="B79" s="25" t="s">
        <v>95</v>
      </c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5"/>
      <c r="O79" s="25"/>
      <c r="P79" s="25"/>
      <c r="Q79" s="23">
        <f t="shared" ref="Q79:Q142" si="110">G79*M79</f>
        <v>0</v>
      </c>
      <c r="R79" s="25"/>
      <c r="S79" s="25"/>
      <c r="T79" s="25"/>
      <c r="U79" s="25"/>
      <c r="V79" s="25"/>
      <c r="AL79" s="1" t="s">
        <v>222</v>
      </c>
      <c r="AM79" s="1"/>
      <c r="AN79" s="1">
        <v>0.7</v>
      </c>
      <c r="AO79" s="1">
        <v>5.2</v>
      </c>
      <c r="AP79" s="1">
        <v>7</v>
      </c>
      <c r="AQ79" s="1">
        <v>6.4</v>
      </c>
      <c r="AR79" s="1">
        <v>4.5999999999999996</v>
      </c>
      <c r="AS79" s="21">
        <v>102.6</v>
      </c>
      <c r="AT79" s="21">
        <v>209.8</v>
      </c>
      <c r="AU79" s="21">
        <v>195.2</v>
      </c>
      <c r="AV79" s="21">
        <v>36.1</v>
      </c>
      <c r="AW79" s="21">
        <v>44.7</v>
      </c>
      <c r="AX79" s="21">
        <v>176.7</v>
      </c>
      <c r="AY79" s="21">
        <v>214.8</v>
      </c>
      <c r="AZ79" s="21">
        <v>182.5</v>
      </c>
      <c r="BA79" s="21">
        <v>264.8</v>
      </c>
      <c r="BB79" s="1">
        <v>222.3</v>
      </c>
      <c r="BC79" s="1"/>
      <c r="BD79" s="1"/>
      <c r="BQ79" s="70"/>
      <c r="BR79" s="70"/>
      <c r="BS79" s="71" t="s">
        <v>307</v>
      </c>
      <c r="BT79" s="71"/>
      <c r="BU79" s="71"/>
      <c r="BV79" s="71"/>
      <c r="BW79" s="71"/>
      <c r="BX79" s="71"/>
      <c r="BY79" s="71"/>
      <c r="BZ79" s="71"/>
      <c r="CA79" s="71"/>
      <c r="CB79" s="71"/>
      <c r="CC79" s="71"/>
      <c r="CD79" s="71"/>
      <c r="CE79" s="70"/>
    </row>
    <row r="80" spans="1:91" x14ac:dyDescent="0.2">
      <c r="A80" s="21" t="s">
        <v>107</v>
      </c>
      <c r="B80" s="21" t="s">
        <v>26</v>
      </c>
      <c r="C80" s="21" t="s">
        <v>15</v>
      </c>
      <c r="D80" s="21">
        <v>0.3</v>
      </c>
      <c r="E80" s="21">
        <v>1.6</v>
      </c>
      <c r="F80" s="21">
        <v>19.7</v>
      </c>
      <c r="G80" s="21">
        <v>26</v>
      </c>
      <c r="H80" s="21">
        <v>5.8</v>
      </c>
      <c r="I80" s="21">
        <v>27</v>
      </c>
      <c r="J80" s="21">
        <v>81.8</v>
      </c>
      <c r="K80" s="21">
        <v>27.9</v>
      </c>
      <c r="L80" s="21">
        <v>10.1</v>
      </c>
      <c r="M80" s="21">
        <v>195</v>
      </c>
      <c r="N80" s="24">
        <f t="shared" ref="N80:N85" si="111">D80*M80</f>
        <v>58.5</v>
      </c>
      <c r="O80" s="21">
        <f t="shared" ref="O80:O85" si="112">E80*M80</f>
        <v>312</v>
      </c>
      <c r="P80" s="21">
        <f t="shared" ref="P80:P85" si="113">F80*M80</f>
        <v>3841.5</v>
      </c>
      <c r="Q80" s="23">
        <f t="shared" si="110"/>
        <v>5070</v>
      </c>
      <c r="R80" s="21">
        <f t="shared" ref="R80:R85" si="114">H80*M80</f>
        <v>1131</v>
      </c>
      <c r="S80" s="21">
        <f t="shared" ref="S80:S85" si="115">I80*M80</f>
        <v>5265</v>
      </c>
      <c r="T80" s="21">
        <f t="shared" ref="T80:T85" si="116">J80*M80</f>
        <v>15951</v>
      </c>
      <c r="U80" s="21">
        <f t="shared" ref="U80:U85" si="117">K80*M80</f>
        <v>5440.5</v>
      </c>
      <c r="V80" s="21">
        <f t="shared" ref="V80:V85" si="118">L80*M80</f>
        <v>1969.5</v>
      </c>
      <c r="BQ80" s="70"/>
      <c r="BR80" s="78">
        <v>1940</v>
      </c>
      <c r="BS80" s="78">
        <v>1950</v>
      </c>
      <c r="BT80" s="78">
        <v>1960</v>
      </c>
      <c r="BU80" s="78">
        <v>1970</v>
      </c>
      <c r="BV80" s="78">
        <v>1980</v>
      </c>
      <c r="BW80" s="78">
        <v>1990</v>
      </c>
      <c r="BX80" s="78">
        <v>2000</v>
      </c>
      <c r="BY80" s="78">
        <v>2001</v>
      </c>
      <c r="BZ80" s="78">
        <v>2002</v>
      </c>
      <c r="CA80" s="78">
        <v>2003</v>
      </c>
      <c r="CB80" s="78">
        <v>2004</v>
      </c>
      <c r="CC80" s="78">
        <v>2005</v>
      </c>
      <c r="CD80" s="78">
        <v>2006</v>
      </c>
      <c r="CE80" s="78">
        <v>2007</v>
      </c>
      <c r="CF80" s="34">
        <v>2008</v>
      </c>
      <c r="CG80" s="34">
        <v>2009</v>
      </c>
      <c r="CH80" s="34">
        <v>2010</v>
      </c>
      <c r="CI80" s="34">
        <v>2011</v>
      </c>
      <c r="CJ80" s="34">
        <v>2012</v>
      </c>
      <c r="CK80" s="34">
        <v>2013</v>
      </c>
      <c r="CL80" s="34">
        <v>2014</v>
      </c>
      <c r="CM80" s="34">
        <v>2015</v>
      </c>
    </row>
    <row r="81" spans="1:91" x14ac:dyDescent="0.2">
      <c r="A81" s="21"/>
      <c r="B81" s="21" t="s">
        <v>150</v>
      </c>
      <c r="C81" s="21"/>
      <c r="D81" s="21"/>
      <c r="E81" s="21"/>
      <c r="F81" s="21">
        <v>2.2000000000000002</v>
      </c>
      <c r="G81" s="21">
        <v>12.4</v>
      </c>
      <c r="H81" s="21">
        <v>0.1</v>
      </c>
      <c r="I81" s="21"/>
      <c r="J81" s="21"/>
      <c r="K81" s="21"/>
      <c r="L81" s="21"/>
      <c r="M81" s="21">
        <v>80.599999999999994</v>
      </c>
      <c r="N81" s="24">
        <f t="shared" si="111"/>
        <v>0</v>
      </c>
      <c r="O81" s="21">
        <f t="shared" si="112"/>
        <v>0</v>
      </c>
      <c r="P81" s="21">
        <f t="shared" si="113"/>
        <v>177.32</v>
      </c>
      <c r="Q81" s="23">
        <f t="shared" si="110"/>
        <v>999.43999999999994</v>
      </c>
      <c r="R81" s="21">
        <f t="shared" si="114"/>
        <v>8.06</v>
      </c>
      <c r="S81" s="21">
        <f t="shared" si="115"/>
        <v>0</v>
      </c>
      <c r="T81" s="21">
        <f t="shared" si="116"/>
        <v>0</v>
      </c>
      <c r="U81" s="21">
        <f t="shared" si="117"/>
        <v>0</v>
      </c>
      <c r="V81" s="21">
        <f t="shared" si="118"/>
        <v>0</v>
      </c>
      <c r="BQ81" s="159" t="s">
        <v>303</v>
      </c>
      <c r="BR81" s="203">
        <v>0</v>
      </c>
      <c r="BS81" s="203">
        <v>0</v>
      </c>
      <c r="BT81" s="203">
        <v>83.7</v>
      </c>
      <c r="BU81" s="205">
        <v>1023.6</v>
      </c>
      <c r="BV81" s="205">
        <v>2549.1999999999998</v>
      </c>
      <c r="BW81" s="203">
        <v>9496.4</v>
      </c>
      <c r="BX81" s="203">
        <v>741.30000000000007</v>
      </c>
      <c r="BY81" s="203">
        <v>810.40000000000009</v>
      </c>
      <c r="BZ81" s="203">
        <v>857.3</v>
      </c>
      <c r="CA81" s="203">
        <v>921.5</v>
      </c>
      <c r="CB81" s="203">
        <v>912.7</v>
      </c>
      <c r="CC81" s="203">
        <v>830.6</v>
      </c>
      <c r="CD81" s="203">
        <v>876.5</v>
      </c>
      <c r="CE81" s="203">
        <v>981.5</v>
      </c>
      <c r="CF81" s="154">
        <v>945.5</v>
      </c>
      <c r="CG81" s="154">
        <v>1010.9</v>
      </c>
      <c r="CH81" s="154">
        <v>1145.3</v>
      </c>
      <c r="CI81" s="206">
        <v>1124.5</v>
      </c>
      <c r="CJ81" s="58"/>
      <c r="CK81" s="60"/>
      <c r="CL81" s="80"/>
      <c r="CM81" s="90"/>
    </row>
    <row r="82" spans="1:91" x14ac:dyDescent="0.2">
      <c r="A82" s="21"/>
      <c r="B82" s="21" t="s">
        <v>29</v>
      </c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4">
        <f t="shared" si="111"/>
        <v>0</v>
      </c>
      <c r="O82" s="21">
        <f t="shared" si="112"/>
        <v>0</v>
      </c>
      <c r="P82" s="21">
        <f t="shared" si="113"/>
        <v>0</v>
      </c>
      <c r="Q82" s="23">
        <f t="shared" si="110"/>
        <v>0</v>
      </c>
      <c r="R82" s="21">
        <f t="shared" si="114"/>
        <v>0</v>
      </c>
      <c r="S82" s="21">
        <f t="shared" si="115"/>
        <v>0</v>
      </c>
      <c r="T82" s="21">
        <f t="shared" si="116"/>
        <v>0</v>
      </c>
      <c r="U82" s="21">
        <f t="shared" si="117"/>
        <v>0</v>
      </c>
      <c r="V82" s="21">
        <f t="shared" si="118"/>
        <v>0</v>
      </c>
      <c r="BQ82" s="159"/>
      <c r="BR82" s="203"/>
      <c r="BS82" s="203"/>
      <c r="BT82" s="203"/>
      <c r="BU82" s="205"/>
      <c r="BV82" s="205"/>
      <c r="BW82" s="203"/>
      <c r="BX82" s="203"/>
      <c r="BY82" s="203"/>
      <c r="BZ82" s="203"/>
      <c r="CA82" s="203"/>
      <c r="CB82" s="203"/>
      <c r="CC82" s="203"/>
      <c r="CD82" s="203"/>
      <c r="CE82" s="203"/>
      <c r="CF82" s="154"/>
      <c r="CG82" s="154"/>
      <c r="CH82" s="154"/>
      <c r="CI82" s="206"/>
      <c r="CJ82" s="58">
        <v>1553.5</v>
      </c>
      <c r="CK82" s="33">
        <v>1680.7</v>
      </c>
      <c r="CL82" s="33">
        <f>CL9</f>
        <v>1877.1</v>
      </c>
      <c r="CM82" s="33">
        <f>CM9</f>
        <v>2089.6</v>
      </c>
    </row>
    <row r="83" spans="1:91" x14ac:dyDescent="0.2">
      <c r="A83" s="21"/>
      <c r="B83" s="21" t="s">
        <v>103</v>
      </c>
      <c r="C83" s="21"/>
      <c r="D83" s="21"/>
      <c r="E83" s="21"/>
      <c r="F83" s="21"/>
      <c r="G83" s="21"/>
      <c r="H83" s="21"/>
      <c r="I83" s="21"/>
      <c r="J83" s="21"/>
      <c r="K83" s="21">
        <v>0.2</v>
      </c>
      <c r="L83" s="21"/>
      <c r="M83" s="21">
        <v>80.599999999999994</v>
      </c>
      <c r="N83" s="24">
        <f t="shared" si="111"/>
        <v>0</v>
      </c>
      <c r="O83" s="21">
        <f t="shared" si="112"/>
        <v>0</v>
      </c>
      <c r="P83" s="21">
        <f t="shared" si="113"/>
        <v>0</v>
      </c>
      <c r="Q83" s="23">
        <f t="shared" si="110"/>
        <v>0</v>
      </c>
      <c r="R83" s="21">
        <f t="shared" si="114"/>
        <v>0</v>
      </c>
      <c r="S83" s="21">
        <f t="shared" si="115"/>
        <v>0</v>
      </c>
      <c r="T83" s="21">
        <f t="shared" si="116"/>
        <v>0</v>
      </c>
      <c r="U83" s="21">
        <f t="shared" si="117"/>
        <v>16.12</v>
      </c>
      <c r="V83" s="21">
        <f t="shared" si="118"/>
        <v>0</v>
      </c>
      <c r="AM83" s="170">
        <v>1940</v>
      </c>
      <c r="AN83" s="170">
        <v>1950</v>
      </c>
      <c r="AO83" s="170">
        <v>1960</v>
      </c>
      <c r="AP83" s="170">
        <v>1970</v>
      </c>
      <c r="AQ83" s="170">
        <v>1980</v>
      </c>
      <c r="AR83" s="170">
        <v>1990</v>
      </c>
      <c r="AS83" s="153">
        <v>2000</v>
      </c>
      <c r="AT83" s="153">
        <v>2001</v>
      </c>
      <c r="AU83" s="153">
        <v>2002</v>
      </c>
      <c r="AV83" s="153">
        <v>2003</v>
      </c>
      <c r="AW83" s="153">
        <v>2004</v>
      </c>
      <c r="AX83" s="153">
        <v>2005</v>
      </c>
      <c r="AY83" s="153">
        <v>2006</v>
      </c>
      <c r="AZ83" s="153">
        <v>2007</v>
      </c>
      <c r="BA83" s="153">
        <v>2008</v>
      </c>
      <c r="BB83" s="156">
        <v>2009</v>
      </c>
      <c r="BC83" s="208">
        <v>2010</v>
      </c>
      <c r="BD83" s="209">
        <v>2011</v>
      </c>
      <c r="BE83" s="207">
        <v>2012</v>
      </c>
      <c r="BF83" s="207">
        <v>2013</v>
      </c>
      <c r="BQ83" s="70" t="s">
        <v>304</v>
      </c>
      <c r="BR83" s="65">
        <v>0</v>
      </c>
      <c r="BS83" s="65">
        <v>0</v>
      </c>
      <c r="BT83" s="65">
        <v>68.900000000000006</v>
      </c>
      <c r="BU83" s="65">
        <v>162.6</v>
      </c>
      <c r="BV83" s="65">
        <v>525.79999999999995</v>
      </c>
      <c r="BW83" s="65">
        <v>1467.9</v>
      </c>
      <c r="BX83" s="79">
        <v>3275.2</v>
      </c>
      <c r="BY83" s="65">
        <v>2788.3</v>
      </c>
      <c r="BZ83" s="79">
        <v>1069.0999999999999</v>
      </c>
      <c r="CA83" s="65">
        <v>1313.6</v>
      </c>
      <c r="CB83" s="65">
        <v>1124.9000000000001</v>
      </c>
      <c r="CC83" s="65">
        <v>828.90000000000009</v>
      </c>
      <c r="CD83" s="65">
        <v>692.8</v>
      </c>
      <c r="CE83" s="65">
        <v>769.59999999999991</v>
      </c>
      <c r="CF83" s="1">
        <v>633.79999999999995</v>
      </c>
      <c r="CG83" s="1">
        <v>680.40000000000009</v>
      </c>
      <c r="CH83" s="1">
        <v>696.7</v>
      </c>
      <c r="CI83" s="1">
        <v>624.4</v>
      </c>
      <c r="CJ83" s="1">
        <v>346</v>
      </c>
      <c r="CK83" s="1">
        <v>481.7</v>
      </c>
      <c r="CL83" s="19">
        <f>CL13</f>
        <v>506.7</v>
      </c>
      <c r="CM83" s="19">
        <f>CM13</f>
        <v>628.5</v>
      </c>
    </row>
    <row r="84" spans="1:91" x14ac:dyDescent="0.2">
      <c r="A84" s="21"/>
      <c r="B84" s="21" t="s">
        <v>12</v>
      </c>
      <c r="C84" s="21"/>
      <c r="D84" s="21"/>
      <c r="E84" s="21"/>
      <c r="F84" s="21">
        <v>15.3</v>
      </c>
      <c r="G84" s="21">
        <v>16.3</v>
      </c>
      <c r="H84" s="21">
        <v>4.2</v>
      </c>
      <c r="I84" s="21">
        <v>1</v>
      </c>
      <c r="J84" s="21">
        <v>1</v>
      </c>
      <c r="K84" s="21"/>
      <c r="L84" s="21"/>
      <c r="M84" s="21">
        <v>668.4</v>
      </c>
      <c r="N84" s="24">
        <f t="shared" si="111"/>
        <v>0</v>
      </c>
      <c r="O84" s="21">
        <f t="shared" si="112"/>
        <v>0</v>
      </c>
      <c r="P84" s="21">
        <f t="shared" si="113"/>
        <v>10226.52</v>
      </c>
      <c r="Q84" s="23">
        <f t="shared" si="110"/>
        <v>10894.92</v>
      </c>
      <c r="R84" s="21">
        <f t="shared" si="114"/>
        <v>2807.28</v>
      </c>
      <c r="S84" s="21">
        <f t="shared" si="115"/>
        <v>668.4</v>
      </c>
      <c r="T84" s="21">
        <f t="shared" si="116"/>
        <v>668.4</v>
      </c>
      <c r="U84" s="21">
        <f t="shared" si="117"/>
        <v>0</v>
      </c>
      <c r="V84" s="21">
        <f t="shared" si="118"/>
        <v>0</v>
      </c>
      <c r="AM84" s="170"/>
      <c r="AN84" s="170"/>
      <c r="AO84" s="170"/>
      <c r="AP84" s="170"/>
      <c r="AQ84" s="170"/>
      <c r="AR84" s="170"/>
      <c r="AS84" s="153"/>
      <c r="AT84" s="153"/>
      <c r="AU84" s="153"/>
      <c r="AV84" s="153"/>
      <c r="AW84" s="153"/>
      <c r="AX84" s="153"/>
      <c r="AY84" s="153"/>
      <c r="AZ84" s="153"/>
      <c r="BA84" s="153"/>
      <c r="BB84" s="157"/>
      <c r="BC84" s="208"/>
      <c r="BD84" s="209"/>
      <c r="BE84" s="207"/>
      <c r="BF84" s="207"/>
      <c r="BQ84" s="70" t="s">
        <v>305</v>
      </c>
      <c r="BR84" s="65">
        <v>83.8</v>
      </c>
      <c r="BS84" s="79">
        <v>405.99999999999994</v>
      </c>
      <c r="BT84" s="79">
        <v>1286.6000000000001</v>
      </c>
      <c r="BU84" s="79">
        <v>1399.9</v>
      </c>
      <c r="BV84" s="79">
        <v>3049.4</v>
      </c>
      <c r="BW84" s="79">
        <v>5265.0000000000009</v>
      </c>
      <c r="BX84" s="65">
        <v>510.9</v>
      </c>
      <c r="BY84" s="65">
        <v>993.30000000000007</v>
      </c>
      <c r="BZ84" s="79">
        <v>1025.3</v>
      </c>
      <c r="CA84" s="79">
        <v>860.99999999999989</v>
      </c>
      <c r="CB84" s="65">
        <v>996.6</v>
      </c>
      <c r="CC84" s="65">
        <v>938.69999999999993</v>
      </c>
      <c r="CD84" s="65">
        <v>1889.8999999999999</v>
      </c>
      <c r="CE84" s="65">
        <v>2401.8999999999996</v>
      </c>
      <c r="CF84" s="1">
        <v>2409.7000000000003</v>
      </c>
      <c r="CG84" s="1">
        <v>3340.6</v>
      </c>
      <c r="CH84" s="19">
        <v>3943</v>
      </c>
      <c r="CI84" s="19">
        <v>4348.8999999999996</v>
      </c>
      <c r="CJ84" s="19">
        <v>2190.3000000000002</v>
      </c>
      <c r="CK84" s="19">
        <v>2016.1</v>
      </c>
      <c r="CL84" s="19">
        <f>CL16</f>
        <v>2425.6999999999998</v>
      </c>
      <c r="CM84" s="19">
        <f>CM16</f>
        <v>4032.4</v>
      </c>
    </row>
    <row r="85" spans="1:91" x14ac:dyDescent="0.2">
      <c r="A85" s="21"/>
      <c r="B85" s="21" t="s">
        <v>32</v>
      </c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>
        <v>200</v>
      </c>
      <c r="N85" s="24">
        <f t="shared" si="111"/>
        <v>0</v>
      </c>
      <c r="O85" s="21">
        <f t="shared" si="112"/>
        <v>0</v>
      </c>
      <c r="P85" s="21">
        <f t="shared" si="113"/>
        <v>0</v>
      </c>
      <c r="Q85" s="23">
        <f t="shared" si="110"/>
        <v>0</v>
      </c>
      <c r="R85" s="21">
        <f t="shared" si="114"/>
        <v>0</v>
      </c>
      <c r="S85" s="21">
        <f t="shared" si="115"/>
        <v>0</v>
      </c>
      <c r="T85" s="21">
        <f t="shared" si="116"/>
        <v>0</v>
      </c>
      <c r="U85" s="21">
        <f t="shared" si="117"/>
        <v>0</v>
      </c>
      <c r="V85" s="21">
        <f t="shared" si="118"/>
        <v>0</v>
      </c>
      <c r="AL85" s="65" t="s">
        <v>259</v>
      </c>
      <c r="AM85" s="1">
        <v>0</v>
      </c>
      <c r="AN85" s="1">
        <v>0</v>
      </c>
      <c r="AO85" s="1">
        <v>83.7</v>
      </c>
      <c r="AP85" s="1">
        <v>1023.6</v>
      </c>
      <c r="AQ85" s="1">
        <v>2549.1999999999998</v>
      </c>
      <c r="AR85" s="1">
        <v>7844.1</v>
      </c>
      <c r="AS85" s="21">
        <v>169.1</v>
      </c>
      <c r="AT85" s="21">
        <v>181.2</v>
      </c>
      <c r="AU85" s="21">
        <v>194.5</v>
      </c>
      <c r="AV85" s="21">
        <v>171.5</v>
      </c>
      <c r="AW85" s="21">
        <v>126.4</v>
      </c>
      <c r="AX85" s="21">
        <v>57.8</v>
      </c>
      <c r="AY85" s="21">
        <v>57.8</v>
      </c>
      <c r="AZ85" s="21">
        <v>46.2</v>
      </c>
      <c r="BA85" s="21">
        <v>18.7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Q85" s="70" t="s">
        <v>306</v>
      </c>
      <c r="BR85" s="79">
        <v>83.8</v>
      </c>
      <c r="BS85" s="79">
        <v>405.99999999999994</v>
      </c>
      <c r="BT85" s="79">
        <v>1439.2000000000003</v>
      </c>
      <c r="BU85" s="79">
        <v>2586.1</v>
      </c>
      <c r="BV85" s="79">
        <v>6124.4</v>
      </c>
      <c r="BW85" s="79">
        <v>16229.300000000001</v>
      </c>
      <c r="BX85" s="79">
        <v>4527.3999999999996</v>
      </c>
      <c r="BY85" s="79">
        <v>4592</v>
      </c>
      <c r="BZ85" s="79">
        <v>2951.7</v>
      </c>
      <c r="CA85" s="79">
        <v>3096.1</v>
      </c>
      <c r="CB85" s="79">
        <v>3034.2</v>
      </c>
      <c r="CC85" s="79">
        <v>2598.1999999999998</v>
      </c>
      <c r="CD85" s="79">
        <v>3459.2</v>
      </c>
      <c r="CE85" s="79">
        <v>4153</v>
      </c>
      <c r="CF85" s="19">
        <v>3989</v>
      </c>
      <c r="CG85" s="19">
        <v>5031.8999999999996</v>
      </c>
      <c r="CH85" s="19">
        <v>5785</v>
      </c>
      <c r="CI85" s="19">
        <v>6097.7</v>
      </c>
      <c r="CJ85" s="19">
        <v>4089.8</v>
      </c>
      <c r="CK85" s="19">
        <v>4178.5</v>
      </c>
      <c r="CL85" s="19">
        <f>CL33</f>
        <v>4809.5</v>
      </c>
      <c r="CM85" s="19">
        <f>CM33</f>
        <v>6750.5</v>
      </c>
    </row>
    <row r="86" spans="1:91" x14ac:dyDescent="0.2">
      <c r="A86" s="25"/>
      <c r="B86" s="25" t="s">
        <v>95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3">
        <f t="shared" si="110"/>
        <v>0</v>
      </c>
      <c r="R86" s="25"/>
      <c r="S86" s="25"/>
      <c r="T86" s="25"/>
      <c r="U86" s="25"/>
      <c r="V86" s="25"/>
      <c r="AL86" s="65" t="s">
        <v>260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1652.3</v>
      </c>
      <c r="AS86" s="21">
        <v>540.70000000000005</v>
      </c>
      <c r="AT86" s="21">
        <v>594.20000000000005</v>
      </c>
      <c r="AU86" s="21">
        <v>603.79999999999995</v>
      </c>
      <c r="AV86" s="21">
        <v>14.7</v>
      </c>
      <c r="AW86" s="21">
        <v>727.4</v>
      </c>
      <c r="AX86" s="21">
        <v>715</v>
      </c>
      <c r="AY86" s="21">
        <v>757.6</v>
      </c>
      <c r="AZ86" s="21">
        <v>871.5</v>
      </c>
      <c r="BA86" s="21">
        <v>855</v>
      </c>
      <c r="BB86" s="1">
        <v>936</v>
      </c>
      <c r="BC86" s="1">
        <v>1070.5</v>
      </c>
      <c r="BD86" s="19">
        <v>1045.8</v>
      </c>
      <c r="BE86" s="1">
        <v>1461.6</v>
      </c>
      <c r="BF86" s="1">
        <v>1680.7</v>
      </c>
    </row>
    <row r="87" spans="1:91" x14ac:dyDescent="0.2">
      <c r="A87" s="21" t="s">
        <v>128</v>
      </c>
      <c r="B87" s="21" t="s">
        <v>4</v>
      </c>
      <c r="C87" s="21" t="s">
        <v>33</v>
      </c>
      <c r="D87" s="21">
        <v>5</v>
      </c>
      <c r="E87" s="21"/>
      <c r="F87" s="21"/>
      <c r="G87" s="21"/>
      <c r="H87" s="21"/>
      <c r="I87" s="21"/>
      <c r="J87" s="21"/>
      <c r="K87" s="21"/>
      <c r="L87" s="21"/>
      <c r="M87" s="21">
        <v>23</v>
      </c>
      <c r="N87" s="24">
        <f>D87*M87</f>
        <v>115</v>
      </c>
      <c r="O87" s="21">
        <f>E87*M87</f>
        <v>0</v>
      </c>
      <c r="P87" s="21">
        <f>F87*M87</f>
        <v>0</v>
      </c>
      <c r="Q87" s="23">
        <f t="shared" si="110"/>
        <v>0</v>
      </c>
      <c r="R87" s="21">
        <f>H87*M87</f>
        <v>0</v>
      </c>
      <c r="S87" s="21">
        <f>I87*M87</f>
        <v>0</v>
      </c>
      <c r="T87" s="21">
        <f>J87*M87</f>
        <v>0</v>
      </c>
      <c r="U87" s="21">
        <f>K87*M87</f>
        <v>0</v>
      </c>
      <c r="V87" s="21">
        <f>L87*M87</f>
        <v>0</v>
      </c>
      <c r="AL87" s="65" t="s">
        <v>261</v>
      </c>
      <c r="AM87" s="1">
        <v>80.599999999999994</v>
      </c>
      <c r="AN87" s="1">
        <v>402.3</v>
      </c>
      <c r="AO87" s="1">
        <v>1251.5</v>
      </c>
      <c r="AP87" s="1">
        <v>1342.3</v>
      </c>
      <c r="AQ87" s="1">
        <v>2960</v>
      </c>
      <c r="AR87" s="1">
        <v>4925.3</v>
      </c>
      <c r="AS87" s="21">
        <v>400.2</v>
      </c>
      <c r="AT87" s="21">
        <v>722.6</v>
      </c>
      <c r="AU87" s="21">
        <v>815.9</v>
      </c>
      <c r="AV87" s="21">
        <v>242.8</v>
      </c>
      <c r="AW87" s="21">
        <v>885.3</v>
      </c>
      <c r="AX87" s="21">
        <v>703.5</v>
      </c>
      <c r="AY87" s="21">
        <v>1569.6</v>
      </c>
      <c r="AZ87" s="21">
        <v>2100</v>
      </c>
      <c r="BA87" s="21">
        <v>2257.3000000000002</v>
      </c>
      <c r="BB87" s="1">
        <v>3017.1</v>
      </c>
      <c r="BC87" s="1">
        <v>3333.2</v>
      </c>
      <c r="BD87" s="19">
        <v>3658.4</v>
      </c>
      <c r="BE87" s="1">
        <v>1427.6</v>
      </c>
      <c r="BF87" s="1">
        <v>1162.2</v>
      </c>
    </row>
    <row r="88" spans="1:91" x14ac:dyDescent="0.2">
      <c r="A88" s="21"/>
      <c r="B88" s="21" t="s">
        <v>129</v>
      </c>
      <c r="C88" s="21" t="s">
        <v>3</v>
      </c>
      <c r="D88" s="21">
        <v>28</v>
      </c>
      <c r="E88" s="21"/>
      <c r="F88" s="21"/>
      <c r="G88" s="21"/>
      <c r="H88" s="21"/>
      <c r="I88" s="21"/>
      <c r="J88" s="21"/>
      <c r="K88" s="21"/>
      <c r="L88" s="21"/>
      <c r="M88" s="21">
        <v>1</v>
      </c>
      <c r="N88" s="24">
        <f>D88*M88</f>
        <v>28</v>
      </c>
      <c r="O88" s="21">
        <f>E88*M88</f>
        <v>0</v>
      </c>
      <c r="P88" s="21">
        <f>F88*M88</f>
        <v>0</v>
      </c>
      <c r="Q88" s="23">
        <f t="shared" si="110"/>
        <v>0</v>
      </c>
      <c r="R88" s="21">
        <f>H88*M88</f>
        <v>0</v>
      </c>
      <c r="S88" s="21">
        <f>I88*M88</f>
        <v>0</v>
      </c>
      <c r="T88" s="21">
        <f>J88*M88</f>
        <v>0</v>
      </c>
      <c r="U88" s="21">
        <f>K88*M88</f>
        <v>0</v>
      </c>
      <c r="V88" s="21">
        <f>L88*M88</f>
        <v>0</v>
      </c>
      <c r="AL88" s="1"/>
      <c r="AM88" s="1"/>
      <c r="AN88" s="1"/>
      <c r="AO88" s="1"/>
      <c r="AP88" s="1"/>
      <c r="AQ88" s="1"/>
      <c r="AR88" s="1"/>
      <c r="AS88" s="21"/>
      <c r="AT88" s="21"/>
      <c r="AU88" s="21"/>
      <c r="AV88" s="21"/>
      <c r="AW88" s="21"/>
      <c r="AX88" s="21"/>
      <c r="AY88" s="21"/>
      <c r="AZ88" s="21"/>
      <c r="BA88" s="21"/>
      <c r="BS88" s="71" t="s">
        <v>311</v>
      </c>
      <c r="BT88" s="71"/>
      <c r="BU88" s="71"/>
      <c r="BV88" s="71"/>
      <c r="BW88" s="71"/>
      <c r="BX88" s="71"/>
      <c r="BY88" s="71"/>
      <c r="BZ88" s="71"/>
      <c r="CA88" s="35"/>
      <c r="CB88" s="35"/>
      <c r="CC88" s="35"/>
      <c r="CD88" s="32"/>
    </row>
    <row r="89" spans="1:91" x14ac:dyDescent="0.2">
      <c r="A89" s="25"/>
      <c r="B89" s="25" t="s">
        <v>95</v>
      </c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3">
        <f t="shared" si="110"/>
        <v>0</v>
      </c>
      <c r="R89" s="25"/>
      <c r="S89" s="25"/>
      <c r="T89" s="25"/>
      <c r="U89" s="25"/>
      <c r="V89" s="25"/>
      <c r="BR89" s="34">
        <v>1940</v>
      </c>
      <c r="BS89" s="34">
        <v>1950</v>
      </c>
      <c r="BT89" s="34">
        <v>1960</v>
      </c>
      <c r="BU89" s="34">
        <v>1970</v>
      </c>
      <c r="BV89" s="34">
        <v>1980</v>
      </c>
      <c r="BW89" s="34">
        <v>1990</v>
      </c>
      <c r="BX89" s="34">
        <v>2000</v>
      </c>
      <c r="BY89" s="34">
        <v>2001</v>
      </c>
      <c r="BZ89" s="34">
        <v>2002</v>
      </c>
      <c r="CA89" s="34">
        <v>2003</v>
      </c>
      <c r="CB89" s="34">
        <v>2004</v>
      </c>
      <c r="CC89" s="34">
        <v>2005</v>
      </c>
      <c r="CD89" s="34">
        <v>2006</v>
      </c>
      <c r="CE89" s="34">
        <v>2007</v>
      </c>
      <c r="CF89" s="34">
        <v>2008</v>
      </c>
      <c r="CG89" s="34">
        <v>2009</v>
      </c>
      <c r="CH89" s="34">
        <v>2010</v>
      </c>
      <c r="CI89" s="34">
        <v>2011</v>
      </c>
      <c r="CJ89" s="34">
        <v>2012</v>
      </c>
      <c r="CK89" s="34">
        <v>2013</v>
      </c>
      <c r="CL89" s="34">
        <v>2014</v>
      </c>
      <c r="CM89" s="34">
        <v>2015</v>
      </c>
    </row>
    <row r="90" spans="1:91" ht="12.75" customHeight="1" x14ac:dyDescent="0.2">
      <c r="A90" s="21" t="s">
        <v>108</v>
      </c>
      <c r="B90" s="21" t="s">
        <v>38</v>
      </c>
      <c r="C90" s="21" t="s">
        <v>36</v>
      </c>
      <c r="D90" s="21">
        <v>279.5</v>
      </c>
      <c r="E90" s="21">
        <v>222.4</v>
      </c>
      <c r="F90" s="21">
        <v>57</v>
      </c>
      <c r="G90" s="21">
        <v>58.4</v>
      </c>
      <c r="H90" s="21">
        <v>40</v>
      </c>
      <c r="I90" s="21">
        <v>16.100000000000001</v>
      </c>
      <c r="J90" s="21">
        <v>30.1</v>
      </c>
      <c r="K90" s="21">
        <v>50.1</v>
      </c>
      <c r="L90" s="21">
        <v>30</v>
      </c>
      <c r="M90" s="21">
        <v>9343.5</v>
      </c>
      <c r="N90" s="24">
        <f t="shared" ref="N90:N98" si="119">D90*M90</f>
        <v>2611508.25</v>
      </c>
      <c r="O90" s="21">
        <f t="shared" ref="O90:O98" si="120">E90*M90</f>
        <v>2077994.4000000001</v>
      </c>
      <c r="P90" s="21">
        <f t="shared" ref="P90:P98" si="121">F90*M90</f>
        <v>532579.5</v>
      </c>
      <c r="Q90" s="23">
        <f t="shared" si="110"/>
        <v>545660.4</v>
      </c>
      <c r="R90" s="21">
        <f t="shared" ref="R90:R98" si="122">H90*M90</f>
        <v>373740</v>
      </c>
      <c r="S90" s="21">
        <f t="shared" ref="S90:S98" si="123">I90*M90</f>
        <v>150430.35</v>
      </c>
      <c r="T90" s="21">
        <f t="shared" ref="T90:T98" si="124">J90*M90</f>
        <v>281239.35000000003</v>
      </c>
      <c r="U90" s="21">
        <f t="shared" ref="U90:U98" si="125">K90*M90</f>
        <v>468109.35000000003</v>
      </c>
      <c r="V90" s="21">
        <f t="shared" ref="V90:V98" si="126">L90*M90</f>
        <v>280305</v>
      </c>
      <c r="AM90" s="170">
        <v>1940</v>
      </c>
      <c r="AN90" s="170">
        <v>1950</v>
      </c>
      <c r="AO90" s="170">
        <v>1960</v>
      </c>
      <c r="AP90" s="170">
        <v>1970</v>
      </c>
      <c r="AQ90" s="170">
        <v>1980</v>
      </c>
      <c r="AR90" s="170">
        <v>1990</v>
      </c>
      <c r="AS90" s="153">
        <v>2000</v>
      </c>
      <c r="AT90" s="153">
        <v>2001</v>
      </c>
      <c r="AU90" s="153">
        <v>2002</v>
      </c>
      <c r="AV90" s="153">
        <v>2003</v>
      </c>
      <c r="AW90" s="153">
        <v>2004</v>
      </c>
      <c r="AX90" s="153">
        <v>2005</v>
      </c>
      <c r="AY90" s="153">
        <v>2006</v>
      </c>
      <c r="AZ90" s="153">
        <v>2007</v>
      </c>
      <c r="BA90" s="153">
        <v>2008</v>
      </c>
      <c r="BB90" s="155">
        <v>2009</v>
      </c>
      <c r="BC90" s="155">
        <v>2010</v>
      </c>
      <c r="BD90" s="155">
        <v>2011</v>
      </c>
      <c r="BE90" s="152">
        <v>2012</v>
      </c>
      <c r="BF90" s="152">
        <v>2013</v>
      </c>
      <c r="BQ90" s="159" t="s">
        <v>303</v>
      </c>
      <c r="BR90" s="154">
        <f>BR81/BR85*100</f>
        <v>0</v>
      </c>
      <c r="BS90" s="154">
        <f t="shared" ref="BS90:CG90" si="127">BS81/BS85*100</f>
        <v>0</v>
      </c>
      <c r="BT90" s="158">
        <f>BT81/BT85*100</f>
        <v>5.8157309616453574</v>
      </c>
      <c r="BU90" s="158">
        <f t="shared" si="127"/>
        <v>39.580836007888323</v>
      </c>
      <c r="BV90" s="158">
        <f t="shared" si="127"/>
        <v>41.623669257396642</v>
      </c>
      <c r="BW90" s="158">
        <f t="shared" si="127"/>
        <v>58.513922350317017</v>
      </c>
      <c r="BX90" s="158">
        <f t="shared" si="127"/>
        <v>16.37363608251977</v>
      </c>
      <c r="BY90" s="158">
        <f t="shared" si="127"/>
        <v>17.648083623693381</v>
      </c>
      <c r="BZ90" s="158">
        <f t="shared" si="127"/>
        <v>29.044279567706745</v>
      </c>
      <c r="CA90" s="158">
        <f t="shared" si="127"/>
        <v>29.763250541003199</v>
      </c>
      <c r="CB90" s="158">
        <f t="shared" si="127"/>
        <v>30.08041658427263</v>
      </c>
      <c r="CC90" s="158">
        <f t="shared" si="127"/>
        <v>31.968285736278968</v>
      </c>
      <c r="CD90" s="158">
        <f t="shared" si="127"/>
        <v>25.33822849213691</v>
      </c>
      <c r="CE90" s="158">
        <f t="shared" si="127"/>
        <v>23.633517938839393</v>
      </c>
      <c r="CF90" s="158">
        <f t="shared" si="127"/>
        <v>23.702682376535471</v>
      </c>
      <c r="CG90" s="158">
        <f t="shared" si="127"/>
        <v>20.089826904350247</v>
      </c>
      <c r="CH90" s="158">
        <f>CH81/CH85*100</f>
        <v>19.797752808988765</v>
      </c>
      <c r="CI90" s="158">
        <f>CI81/CI85*100</f>
        <v>18.441379536546567</v>
      </c>
      <c r="CJ90" s="158">
        <f>CJ82/CJ85*100</f>
        <v>37.984742530197074</v>
      </c>
      <c r="CK90" s="59"/>
      <c r="CL90" s="82"/>
      <c r="CM90" s="89"/>
    </row>
    <row r="91" spans="1:91" x14ac:dyDescent="0.2">
      <c r="A91" s="21" t="s">
        <v>109</v>
      </c>
      <c r="B91" s="21" t="s">
        <v>38</v>
      </c>
      <c r="C91" s="21" t="s">
        <v>36</v>
      </c>
      <c r="D91" s="21">
        <v>3</v>
      </c>
      <c r="E91" s="21">
        <v>8.5</v>
      </c>
      <c r="F91" s="21">
        <v>5.3</v>
      </c>
      <c r="G91" s="21">
        <v>41.7</v>
      </c>
      <c r="H91" s="21">
        <v>27.1</v>
      </c>
      <c r="I91" s="21">
        <v>20.5</v>
      </c>
      <c r="J91" s="21">
        <v>14.4</v>
      </c>
      <c r="K91" s="21"/>
      <c r="L91" s="21"/>
      <c r="M91" s="21">
        <v>9343.5</v>
      </c>
      <c r="N91" s="24">
        <f t="shared" si="119"/>
        <v>28030.5</v>
      </c>
      <c r="O91" s="21">
        <f t="shared" si="120"/>
        <v>79419.75</v>
      </c>
      <c r="P91" s="21">
        <f t="shared" si="121"/>
        <v>49520.549999999996</v>
      </c>
      <c r="Q91" s="23">
        <f t="shared" si="110"/>
        <v>389623.95</v>
      </c>
      <c r="R91" s="21">
        <f t="shared" si="122"/>
        <v>253208.85</v>
      </c>
      <c r="S91" s="21">
        <f t="shared" si="123"/>
        <v>191541.75</v>
      </c>
      <c r="T91" s="21">
        <f t="shared" si="124"/>
        <v>134546.4</v>
      </c>
      <c r="U91" s="21">
        <f t="shared" si="125"/>
        <v>0</v>
      </c>
      <c r="V91" s="21">
        <f t="shared" si="126"/>
        <v>0</v>
      </c>
      <c r="AM91" s="170"/>
      <c r="AN91" s="170"/>
      <c r="AO91" s="170"/>
      <c r="AP91" s="170"/>
      <c r="AQ91" s="170"/>
      <c r="AR91" s="170"/>
      <c r="AS91" s="153"/>
      <c r="AT91" s="153"/>
      <c r="AU91" s="153"/>
      <c r="AV91" s="153"/>
      <c r="AW91" s="153"/>
      <c r="AX91" s="153"/>
      <c r="AY91" s="153"/>
      <c r="AZ91" s="153"/>
      <c r="BA91" s="153"/>
      <c r="BB91" s="155"/>
      <c r="BC91" s="155"/>
      <c r="BD91" s="155"/>
      <c r="BE91" s="152"/>
      <c r="BF91" s="152"/>
      <c r="BQ91" s="159"/>
      <c r="BR91" s="154"/>
      <c r="BS91" s="154"/>
      <c r="BT91" s="158"/>
      <c r="BU91" s="158"/>
      <c r="BV91" s="158"/>
      <c r="BW91" s="158"/>
      <c r="BX91" s="158"/>
      <c r="BY91" s="158"/>
      <c r="BZ91" s="158"/>
      <c r="CA91" s="158"/>
      <c r="CB91" s="158"/>
      <c r="CC91" s="158"/>
      <c r="CD91" s="158"/>
      <c r="CE91" s="158"/>
      <c r="CF91" s="158"/>
      <c r="CG91" s="158"/>
      <c r="CH91" s="158"/>
      <c r="CI91" s="158"/>
      <c r="CJ91" s="158"/>
      <c r="CK91" s="59">
        <f>CK82/CK85*100</f>
        <v>40.222567907143713</v>
      </c>
      <c r="CL91" s="75">
        <v>39</v>
      </c>
      <c r="CM91" s="75">
        <v>31</v>
      </c>
    </row>
    <row r="92" spans="1:91" x14ac:dyDescent="0.2">
      <c r="A92" s="21" t="s">
        <v>175</v>
      </c>
      <c r="B92" s="21" t="s">
        <v>38</v>
      </c>
      <c r="C92" s="21"/>
      <c r="D92" s="21"/>
      <c r="E92" s="21"/>
      <c r="F92" s="21"/>
      <c r="G92" s="21"/>
      <c r="H92" s="21"/>
      <c r="I92" s="21">
        <v>3</v>
      </c>
      <c r="J92" s="21"/>
      <c r="K92" s="21"/>
      <c r="L92" s="21"/>
      <c r="M92" s="21">
        <v>9343.5</v>
      </c>
      <c r="N92" s="24">
        <f t="shared" si="119"/>
        <v>0</v>
      </c>
      <c r="O92" s="21">
        <f t="shared" si="120"/>
        <v>0</v>
      </c>
      <c r="P92" s="21">
        <f t="shared" si="121"/>
        <v>0</v>
      </c>
      <c r="Q92" s="23">
        <f t="shared" si="110"/>
        <v>0</v>
      </c>
      <c r="R92" s="21">
        <f t="shared" si="122"/>
        <v>0</v>
      </c>
      <c r="S92" s="21">
        <f t="shared" si="123"/>
        <v>28030.5</v>
      </c>
      <c r="T92" s="21">
        <f t="shared" si="124"/>
        <v>0</v>
      </c>
      <c r="U92" s="21">
        <f t="shared" si="125"/>
        <v>0</v>
      </c>
      <c r="V92" s="21">
        <f t="shared" si="126"/>
        <v>0</v>
      </c>
      <c r="AL92" s="65" t="s">
        <v>262</v>
      </c>
      <c r="AM92" s="1">
        <v>2.2999999999999998</v>
      </c>
      <c r="AN92" s="1">
        <v>1.6</v>
      </c>
      <c r="AO92" s="1">
        <v>16.399999999999999</v>
      </c>
      <c r="AP92" s="1">
        <v>32</v>
      </c>
      <c r="AQ92" s="1">
        <v>54</v>
      </c>
      <c r="AR92" s="1">
        <v>67.5</v>
      </c>
      <c r="AS92" s="21">
        <v>4.4000000000000004</v>
      </c>
      <c r="AT92" s="21"/>
      <c r="AU92" s="21">
        <v>0.9</v>
      </c>
      <c r="AV92" s="21">
        <v>0.3</v>
      </c>
      <c r="AW92" s="21">
        <v>0.9</v>
      </c>
      <c r="AX92" s="21">
        <v>11.8</v>
      </c>
      <c r="AY92" s="21">
        <v>21</v>
      </c>
      <c r="AZ92" s="21">
        <v>22.9</v>
      </c>
      <c r="BA92" s="21">
        <v>20</v>
      </c>
      <c r="BB92" s="1">
        <v>20</v>
      </c>
      <c r="BC92" s="1">
        <v>6.9</v>
      </c>
      <c r="BD92" s="1">
        <v>3.9</v>
      </c>
      <c r="BE92" s="1">
        <v>4.5999999999999996</v>
      </c>
      <c r="BF92" s="1">
        <v>11.6</v>
      </c>
      <c r="BQ92" s="70" t="s">
        <v>304</v>
      </c>
      <c r="BR92" s="37">
        <f>BR83/BR85*100</f>
        <v>0</v>
      </c>
      <c r="BS92" s="37">
        <f t="shared" ref="BS92:CI92" si="128">BS83/BS85*100</f>
        <v>0</v>
      </c>
      <c r="BT92" s="38">
        <f t="shared" si="128"/>
        <v>4.7873818788215674</v>
      </c>
      <c r="BU92" s="38">
        <f t="shared" si="128"/>
        <v>6.2874598816751091</v>
      </c>
      <c r="BV92" s="38">
        <f t="shared" si="128"/>
        <v>8.5853308079158772</v>
      </c>
      <c r="BW92" s="38">
        <f t="shared" si="128"/>
        <v>9.0447523922781627</v>
      </c>
      <c r="BX92" s="38">
        <f t="shared" si="128"/>
        <v>72.341741396828212</v>
      </c>
      <c r="BY92" s="38">
        <f t="shared" si="128"/>
        <v>60.720818815331015</v>
      </c>
      <c r="BZ92" s="38">
        <f t="shared" si="128"/>
        <v>36.219805535792929</v>
      </c>
      <c r="CA92" s="38">
        <f t="shared" si="128"/>
        <v>42.427570168922188</v>
      </c>
      <c r="CB92" s="38">
        <f t="shared" si="128"/>
        <v>37.074022806670627</v>
      </c>
      <c r="CC92" s="38">
        <f t="shared" si="128"/>
        <v>31.902855823262264</v>
      </c>
      <c r="CD92" s="38">
        <f t="shared" si="128"/>
        <v>20.027752081406106</v>
      </c>
      <c r="CE92" s="38">
        <f t="shared" si="128"/>
        <v>18.531182277871416</v>
      </c>
      <c r="CF92" s="38">
        <f t="shared" si="128"/>
        <v>15.888693908247681</v>
      </c>
      <c r="CG92" s="38">
        <f t="shared" si="128"/>
        <v>13.521731353961727</v>
      </c>
      <c r="CH92" s="38">
        <f t="shared" si="128"/>
        <v>12.043215211754539</v>
      </c>
      <c r="CI92" s="38">
        <f t="shared" si="128"/>
        <v>10.239926529675124</v>
      </c>
      <c r="CJ92" s="38">
        <f>CJ83/CJ85*100</f>
        <v>8.4600713971343335</v>
      </c>
      <c r="CK92" s="68">
        <f>CK83/CK85*100</f>
        <v>11.528060308723227</v>
      </c>
      <c r="CL92" s="75">
        <v>10.5</v>
      </c>
      <c r="CM92" s="75">
        <v>12.6</v>
      </c>
    </row>
    <row r="93" spans="1:91" x14ac:dyDescent="0.2">
      <c r="A93" s="21" t="s">
        <v>130</v>
      </c>
      <c r="B93" s="21" t="s">
        <v>131</v>
      </c>
      <c r="C93" s="21" t="s">
        <v>7</v>
      </c>
      <c r="D93" s="21">
        <v>7</v>
      </c>
      <c r="E93" s="21"/>
      <c r="F93" s="21"/>
      <c r="G93" s="21"/>
      <c r="H93" s="21"/>
      <c r="I93" s="21"/>
      <c r="J93" s="21"/>
      <c r="K93" s="21"/>
      <c r="L93" s="21"/>
      <c r="M93" s="21">
        <v>24</v>
      </c>
      <c r="N93" s="24">
        <f t="shared" si="119"/>
        <v>168</v>
      </c>
      <c r="O93" s="21">
        <f t="shared" si="120"/>
        <v>0</v>
      </c>
      <c r="P93" s="21">
        <f t="shared" si="121"/>
        <v>0</v>
      </c>
      <c r="Q93" s="23">
        <f t="shared" si="110"/>
        <v>0</v>
      </c>
      <c r="R93" s="21">
        <f t="shared" si="122"/>
        <v>0</v>
      </c>
      <c r="S93" s="21">
        <f t="shared" si="123"/>
        <v>0</v>
      </c>
      <c r="T93" s="21">
        <f t="shared" si="124"/>
        <v>0</v>
      </c>
      <c r="U93" s="21">
        <f t="shared" si="125"/>
        <v>0</v>
      </c>
      <c r="V93" s="21">
        <f t="shared" si="126"/>
        <v>0</v>
      </c>
      <c r="AL93" s="65" t="s">
        <v>263</v>
      </c>
      <c r="AM93" s="1"/>
      <c r="AN93" s="1">
        <v>0.7</v>
      </c>
      <c r="AO93" s="1">
        <v>5.2</v>
      </c>
      <c r="AP93" s="1">
        <v>7</v>
      </c>
      <c r="AQ93" s="1">
        <v>6.4</v>
      </c>
      <c r="AR93" s="1">
        <v>4.5999999999999996</v>
      </c>
      <c r="AS93" s="21">
        <v>102.6</v>
      </c>
      <c r="AT93" s="21">
        <v>209.8</v>
      </c>
      <c r="AU93" s="21">
        <v>195.2</v>
      </c>
      <c r="AV93" s="21">
        <v>36.1</v>
      </c>
      <c r="AW93" s="21">
        <v>44.7</v>
      </c>
      <c r="AX93" s="21">
        <v>176.7</v>
      </c>
      <c r="AY93" s="21">
        <v>214.8</v>
      </c>
      <c r="AZ93" s="21">
        <v>182.5</v>
      </c>
      <c r="BA93" s="21">
        <v>264.8</v>
      </c>
      <c r="BB93" s="19">
        <v>222.3</v>
      </c>
      <c r="BC93" s="19">
        <v>267.8</v>
      </c>
      <c r="BD93" s="19">
        <v>271.39999999999998</v>
      </c>
      <c r="BE93" s="1">
        <v>298.39999999999998</v>
      </c>
      <c r="BF93" s="19">
        <v>296.8</v>
      </c>
      <c r="BQ93" s="70" t="s">
        <v>305</v>
      </c>
      <c r="BR93" s="37">
        <f>BR84/BR85*100</f>
        <v>100</v>
      </c>
      <c r="BS93" s="37">
        <f t="shared" ref="BS93:CI93" si="129">BS84/BS85*100</f>
        <v>100</v>
      </c>
      <c r="BT93" s="38">
        <f t="shared" si="129"/>
        <v>89.396887159533065</v>
      </c>
      <c r="BU93" s="38">
        <f t="shared" si="129"/>
        <v>54.131704110436573</v>
      </c>
      <c r="BV93" s="38">
        <f t="shared" si="129"/>
        <v>49.790999934687484</v>
      </c>
      <c r="BW93" s="38">
        <f t="shared" si="129"/>
        <v>32.44132525740482</v>
      </c>
      <c r="BX93" s="38">
        <f t="shared" si="129"/>
        <v>11.284622520652031</v>
      </c>
      <c r="BY93" s="38">
        <f t="shared" si="129"/>
        <v>21.631097560975611</v>
      </c>
      <c r="BZ93" s="38">
        <f t="shared" si="129"/>
        <v>34.735914896500326</v>
      </c>
      <c r="CA93" s="38">
        <f t="shared" si="129"/>
        <v>27.80917929007461</v>
      </c>
      <c r="CB93" s="38">
        <f t="shared" si="129"/>
        <v>32.845560609056754</v>
      </c>
      <c r="CC93" s="38">
        <f t="shared" si="129"/>
        <v>36.128858440458778</v>
      </c>
      <c r="CD93" s="38">
        <f t="shared" si="129"/>
        <v>54.63401942645698</v>
      </c>
      <c r="CE93" s="38">
        <f t="shared" si="129"/>
        <v>57.835299783289187</v>
      </c>
      <c r="CF93" s="38">
        <f t="shared" si="129"/>
        <v>60.408623715216855</v>
      </c>
      <c r="CG93" s="38">
        <f t="shared" si="129"/>
        <v>66.388441741688027</v>
      </c>
      <c r="CH93" s="38">
        <f t="shared" si="129"/>
        <v>68.159031979256696</v>
      </c>
      <c r="CI93" s="38">
        <f t="shared" si="129"/>
        <v>71.320333896387154</v>
      </c>
      <c r="CJ93" s="38">
        <f>CJ84/CJ85*100</f>
        <v>53.55518607266859</v>
      </c>
      <c r="CK93" s="68">
        <f>CK84/CK85*100</f>
        <v>48.249371784133061</v>
      </c>
      <c r="CL93" s="82">
        <v>50.5</v>
      </c>
      <c r="CM93" s="89">
        <v>56.4</v>
      </c>
    </row>
    <row r="94" spans="1:91" x14ac:dyDescent="0.2">
      <c r="A94" s="21"/>
      <c r="B94" s="21" t="s">
        <v>132</v>
      </c>
      <c r="C94" s="21" t="s">
        <v>7</v>
      </c>
      <c r="D94" s="21">
        <v>4</v>
      </c>
      <c r="E94" s="21"/>
      <c r="F94" s="21"/>
      <c r="G94" s="21"/>
      <c r="H94" s="21"/>
      <c r="I94" s="21"/>
      <c r="J94" s="21"/>
      <c r="K94" s="21"/>
      <c r="L94" s="21"/>
      <c r="M94" s="21">
        <v>17.7</v>
      </c>
      <c r="N94" s="24">
        <f t="shared" si="119"/>
        <v>70.8</v>
      </c>
      <c r="O94" s="21">
        <f t="shared" si="120"/>
        <v>0</v>
      </c>
      <c r="P94" s="21">
        <f t="shared" si="121"/>
        <v>0</v>
      </c>
      <c r="Q94" s="23">
        <f t="shared" si="110"/>
        <v>0</v>
      </c>
      <c r="R94" s="21">
        <f t="shared" si="122"/>
        <v>0</v>
      </c>
      <c r="S94" s="21">
        <f t="shared" si="123"/>
        <v>0</v>
      </c>
      <c r="T94" s="21">
        <f t="shared" si="124"/>
        <v>0</v>
      </c>
      <c r="U94" s="21">
        <f t="shared" si="125"/>
        <v>0</v>
      </c>
      <c r="V94" s="21">
        <f t="shared" si="126"/>
        <v>0</v>
      </c>
      <c r="AL94" s="65" t="s">
        <v>264</v>
      </c>
      <c r="AM94" s="1"/>
      <c r="AN94" s="1"/>
      <c r="AO94" s="1"/>
      <c r="AP94" s="1"/>
      <c r="AQ94" s="1"/>
      <c r="AR94" s="1"/>
      <c r="AS94" s="21">
        <v>31.5</v>
      </c>
      <c r="AT94" s="27">
        <v>35</v>
      </c>
      <c r="AU94" s="21">
        <v>59</v>
      </c>
      <c r="AV94" s="21">
        <v>133.4</v>
      </c>
      <c r="AW94" s="21">
        <v>58.9</v>
      </c>
      <c r="AX94" s="21">
        <v>65.8</v>
      </c>
      <c r="AY94" s="21">
        <v>61</v>
      </c>
      <c r="AZ94" s="21">
        <v>63.7</v>
      </c>
      <c r="BA94" s="21">
        <v>71.8</v>
      </c>
      <c r="BB94" s="1">
        <v>74.900000000000006</v>
      </c>
      <c r="BC94" s="1">
        <v>74.8</v>
      </c>
      <c r="BD94" s="1">
        <v>78.599999999999994</v>
      </c>
      <c r="BE94" s="1">
        <v>91.9</v>
      </c>
      <c r="BF94" s="1">
        <v>73.599999999999994</v>
      </c>
      <c r="BR94" s="19">
        <f>SUM(BR90:BR93)</f>
        <v>100</v>
      </c>
      <c r="BS94" s="19">
        <f t="shared" ref="BS94:CJ94" si="130">SUM(BS90:BS93)</f>
        <v>100</v>
      </c>
      <c r="BT94" s="19">
        <f t="shared" si="130"/>
        <v>99.999999999999986</v>
      </c>
      <c r="BU94" s="19">
        <f t="shared" si="130"/>
        <v>100</v>
      </c>
      <c r="BV94" s="19">
        <f t="shared" si="130"/>
        <v>100</v>
      </c>
      <c r="BW94" s="19">
        <f t="shared" si="130"/>
        <v>100</v>
      </c>
      <c r="BX94" s="19">
        <f t="shared" si="130"/>
        <v>100.00000000000001</v>
      </c>
      <c r="BY94" s="19">
        <f t="shared" si="130"/>
        <v>100</v>
      </c>
      <c r="BZ94" s="19">
        <f t="shared" si="130"/>
        <v>100</v>
      </c>
      <c r="CA94" s="19">
        <f t="shared" si="130"/>
        <v>100</v>
      </c>
      <c r="CB94" s="19">
        <f t="shared" si="130"/>
        <v>100</v>
      </c>
      <c r="CC94" s="19">
        <f t="shared" si="130"/>
        <v>100</v>
      </c>
      <c r="CD94" s="19">
        <f t="shared" si="130"/>
        <v>100</v>
      </c>
      <c r="CE94" s="19">
        <f t="shared" si="130"/>
        <v>100</v>
      </c>
      <c r="CF94" s="19">
        <f t="shared" si="130"/>
        <v>100</v>
      </c>
      <c r="CG94" s="19">
        <f t="shared" si="130"/>
        <v>100</v>
      </c>
      <c r="CH94" s="19">
        <f t="shared" si="130"/>
        <v>100</v>
      </c>
      <c r="CI94" s="19">
        <f t="shared" si="130"/>
        <v>100.00163996260885</v>
      </c>
      <c r="CJ94" s="19">
        <f t="shared" si="130"/>
        <v>100</v>
      </c>
      <c r="CK94" s="68">
        <f>CK85/CK85*100</f>
        <v>100</v>
      </c>
      <c r="CL94" s="86">
        <v>100</v>
      </c>
      <c r="CM94" s="89">
        <f>SUM(CM91:CM93)</f>
        <v>100</v>
      </c>
    </row>
    <row r="95" spans="1:91" x14ac:dyDescent="0.2">
      <c r="A95" s="21"/>
      <c r="B95" s="21" t="s">
        <v>133</v>
      </c>
      <c r="C95" s="21" t="s">
        <v>7</v>
      </c>
      <c r="D95" s="21">
        <v>17</v>
      </c>
      <c r="E95" s="21"/>
      <c r="F95" s="21"/>
      <c r="G95" s="21"/>
      <c r="H95" s="21"/>
      <c r="I95" s="21"/>
      <c r="J95" s="21"/>
      <c r="K95" s="21"/>
      <c r="L95" s="21"/>
      <c r="M95" s="21">
        <v>30</v>
      </c>
      <c r="N95" s="24">
        <f t="shared" si="119"/>
        <v>510</v>
      </c>
      <c r="O95" s="21">
        <f t="shared" si="120"/>
        <v>0</v>
      </c>
      <c r="P95" s="21">
        <f t="shared" si="121"/>
        <v>0</v>
      </c>
      <c r="Q95" s="23">
        <f t="shared" si="110"/>
        <v>0</v>
      </c>
      <c r="R95" s="21">
        <f t="shared" si="122"/>
        <v>0</v>
      </c>
      <c r="S95" s="21">
        <f t="shared" si="123"/>
        <v>0</v>
      </c>
      <c r="T95" s="21">
        <f t="shared" si="124"/>
        <v>0</v>
      </c>
      <c r="U95" s="21">
        <f t="shared" si="125"/>
        <v>0</v>
      </c>
      <c r="V95" s="21">
        <f t="shared" si="126"/>
        <v>0</v>
      </c>
      <c r="AL95" s="65"/>
      <c r="AM95" s="1"/>
      <c r="AN95" s="1"/>
      <c r="AO95" s="1"/>
      <c r="AP95" s="1"/>
      <c r="AQ95" s="1"/>
      <c r="AR95" s="1"/>
      <c r="AS95" s="21"/>
      <c r="AT95" s="21"/>
      <c r="AU95" s="21"/>
      <c r="AV95" s="21"/>
      <c r="AW95" s="21"/>
      <c r="AX95" s="21"/>
      <c r="AY95" s="21"/>
      <c r="AZ95" s="21"/>
      <c r="BA95" s="21"/>
    </row>
    <row r="96" spans="1:91" x14ac:dyDescent="0.2">
      <c r="A96" s="21"/>
      <c r="B96" s="21" t="s">
        <v>134</v>
      </c>
      <c r="C96" s="21" t="s">
        <v>7</v>
      </c>
      <c r="D96" s="21">
        <v>50</v>
      </c>
      <c r="E96" s="21"/>
      <c r="F96" s="21"/>
      <c r="G96" s="21"/>
      <c r="H96" s="21"/>
      <c r="I96" s="21"/>
      <c r="J96" s="21"/>
      <c r="K96" s="21"/>
      <c r="L96" s="21"/>
      <c r="M96" s="21">
        <v>10</v>
      </c>
      <c r="N96" s="24">
        <f t="shared" si="119"/>
        <v>500</v>
      </c>
      <c r="O96" s="21">
        <f t="shared" si="120"/>
        <v>0</v>
      </c>
      <c r="P96" s="21">
        <f t="shared" si="121"/>
        <v>0</v>
      </c>
      <c r="Q96" s="23">
        <f t="shared" si="110"/>
        <v>0</v>
      </c>
      <c r="R96" s="21">
        <f t="shared" si="122"/>
        <v>0</v>
      </c>
      <c r="S96" s="21">
        <f t="shared" si="123"/>
        <v>0</v>
      </c>
      <c r="T96" s="21">
        <f t="shared" si="124"/>
        <v>0</v>
      </c>
      <c r="U96" s="21">
        <f t="shared" si="125"/>
        <v>0</v>
      </c>
      <c r="V96" s="21">
        <f t="shared" si="126"/>
        <v>0</v>
      </c>
      <c r="AL96" s="1"/>
      <c r="AM96" s="1"/>
      <c r="AN96" s="1"/>
      <c r="AO96" s="1"/>
      <c r="AP96" s="1"/>
      <c r="AQ96" s="1"/>
      <c r="AR96" s="1"/>
      <c r="AS96" s="21"/>
      <c r="AT96" s="27"/>
      <c r="AU96" s="21"/>
      <c r="AV96" s="21"/>
      <c r="AW96" s="21"/>
      <c r="AX96" s="21"/>
      <c r="AY96" s="21"/>
      <c r="AZ96" s="21"/>
      <c r="BA96" s="21"/>
    </row>
    <row r="97" spans="1:110" x14ac:dyDescent="0.2">
      <c r="A97" s="21"/>
      <c r="B97" s="21" t="s">
        <v>135</v>
      </c>
      <c r="C97" s="21" t="s">
        <v>7</v>
      </c>
      <c r="D97" s="21">
        <v>5</v>
      </c>
      <c r="E97" s="21"/>
      <c r="F97" s="21"/>
      <c r="G97" s="21"/>
      <c r="H97" s="21"/>
      <c r="I97" s="21"/>
      <c r="J97" s="21"/>
      <c r="K97" s="21"/>
      <c r="L97" s="21"/>
      <c r="M97" s="21">
        <v>10</v>
      </c>
      <c r="N97" s="24">
        <f t="shared" si="119"/>
        <v>50</v>
      </c>
      <c r="O97" s="21">
        <f t="shared" si="120"/>
        <v>0</v>
      </c>
      <c r="P97" s="21">
        <f t="shared" si="121"/>
        <v>0</v>
      </c>
      <c r="Q97" s="23">
        <f t="shared" si="110"/>
        <v>0</v>
      </c>
      <c r="R97" s="21">
        <f t="shared" si="122"/>
        <v>0</v>
      </c>
      <c r="S97" s="21">
        <f t="shared" si="123"/>
        <v>0</v>
      </c>
      <c r="T97" s="21">
        <f t="shared" si="124"/>
        <v>0</v>
      </c>
      <c r="U97" s="21">
        <f t="shared" si="125"/>
        <v>0</v>
      </c>
      <c r="V97" s="21">
        <f t="shared" si="126"/>
        <v>0</v>
      </c>
      <c r="AL97" s="1"/>
      <c r="AM97" s="1"/>
      <c r="AN97" s="1"/>
      <c r="AO97" s="1"/>
      <c r="AP97" s="1"/>
      <c r="AQ97" s="1"/>
      <c r="AR97" s="1"/>
      <c r="AS97" s="21"/>
      <c r="AT97" s="27"/>
      <c r="AU97" s="21"/>
      <c r="AV97" s="21"/>
      <c r="AW97" s="21"/>
      <c r="AX97" s="21"/>
      <c r="AY97" s="21"/>
      <c r="AZ97" s="21"/>
      <c r="BA97" s="21"/>
      <c r="CP97" s="34"/>
    </row>
    <row r="98" spans="1:110" x14ac:dyDescent="0.2">
      <c r="A98" s="21"/>
      <c r="B98" s="21" t="s">
        <v>136</v>
      </c>
      <c r="C98" s="21" t="s">
        <v>7</v>
      </c>
      <c r="D98" s="21">
        <v>3.5</v>
      </c>
      <c r="E98" s="21"/>
      <c r="F98" s="21"/>
      <c r="G98" s="21"/>
      <c r="H98" s="21"/>
      <c r="I98" s="21"/>
      <c r="J98" s="21"/>
      <c r="K98" s="21"/>
      <c r="L98" s="21"/>
      <c r="M98" s="21">
        <v>4</v>
      </c>
      <c r="N98" s="24">
        <f t="shared" si="119"/>
        <v>14</v>
      </c>
      <c r="O98" s="21">
        <f t="shared" si="120"/>
        <v>0</v>
      </c>
      <c r="P98" s="21">
        <f t="shared" si="121"/>
        <v>0</v>
      </c>
      <c r="Q98" s="23">
        <f t="shared" si="110"/>
        <v>0</v>
      </c>
      <c r="R98" s="21">
        <f t="shared" si="122"/>
        <v>0</v>
      </c>
      <c r="S98" s="21">
        <f t="shared" si="123"/>
        <v>0</v>
      </c>
      <c r="T98" s="21">
        <f t="shared" si="124"/>
        <v>0</v>
      </c>
      <c r="U98" s="21">
        <f t="shared" si="125"/>
        <v>0</v>
      </c>
      <c r="V98" s="21">
        <f t="shared" si="126"/>
        <v>0</v>
      </c>
      <c r="AL98" s="1"/>
      <c r="AM98" s="1"/>
      <c r="AN98" s="1"/>
      <c r="AO98" s="1"/>
      <c r="AP98" s="1"/>
      <c r="AQ98" s="1"/>
      <c r="AR98" s="1"/>
      <c r="AS98" s="21"/>
      <c r="AT98" s="27"/>
      <c r="AU98" s="21"/>
      <c r="AV98" s="21"/>
      <c r="AW98" s="21"/>
      <c r="AX98" s="21"/>
      <c r="AY98" s="21"/>
      <c r="AZ98" s="21"/>
      <c r="BA98" s="21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</row>
    <row r="99" spans="1:110" x14ac:dyDescent="0.2">
      <c r="A99" s="25"/>
      <c r="B99" s="25" t="s">
        <v>95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3">
        <f t="shared" si="110"/>
        <v>0</v>
      </c>
      <c r="R99" s="25"/>
      <c r="S99" s="25"/>
      <c r="T99" s="25"/>
      <c r="U99" s="25"/>
      <c r="V99" s="25"/>
      <c r="CP99" s="34">
        <v>1960</v>
      </c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</row>
    <row r="100" spans="1:110" ht="12.75" customHeight="1" x14ac:dyDescent="0.2">
      <c r="A100" s="21" t="s">
        <v>110</v>
      </c>
      <c r="B100" s="21" t="s">
        <v>23</v>
      </c>
      <c r="C100" s="21" t="s">
        <v>25</v>
      </c>
      <c r="D100" s="21">
        <v>0.3</v>
      </c>
      <c r="E100" s="21">
        <v>0.9</v>
      </c>
      <c r="F100" s="21">
        <v>1</v>
      </c>
      <c r="G100" s="21">
        <v>0.3</v>
      </c>
      <c r="H100" s="21">
        <v>0.3</v>
      </c>
      <c r="I100" s="21">
        <v>0.3</v>
      </c>
      <c r="J100" s="21">
        <v>0.1</v>
      </c>
      <c r="K100" s="21">
        <v>200</v>
      </c>
      <c r="L100" s="21">
        <v>692.5</v>
      </c>
      <c r="M100" s="21">
        <v>13.8</v>
      </c>
      <c r="N100" s="24">
        <f t="shared" ref="N100:N109" si="131">D100*M100</f>
        <v>4.1399999999999997</v>
      </c>
      <c r="O100" s="21">
        <f t="shared" ref="O100:O109" si="132">E100*M100</f>
        <v>12.420000000000002</v>
      </c>
      <c r="P100" s="21">
        <f t="shared" ref="P100:P109" si="133">F100*M100</f>
        <v>13.8</v>
      </c>
      <c r="Q100" s="23">
        <f t="shared" si="110"/>
        <v>4.1399999999999997</v>
      </c>
      <c r="R100" s="21">
        <f t="shared" ref="R100:R109" si="134">H100*M100</f>
        <v>4.1399999999999997</v>
      </c>
      <c r="S100" s="21">
        <f t="shared" ref="S100:S109" si="135">I100*M100</f>
        <v>4.1399999999999997</v>
      </c>
      <c r="T100" s="21">
        <f t="shared" ref="T100:T109" si="136">J100*M100</f>
        <v>1.3800000000000001</v>
      </c>
      <c r="U100" s="21">
        <f t="shared" ref="U100:U109" si="137">K100*M100</f>
        <v>2760</v>
      </c>
      <c r="V100" s="21">
        <f t="shared" ref="V100:V109" si="138">L100*M100</f>
        <v>9556.5</v>
      </c>
      <c r="CO100" s="159" t="s">
        <v>303</v>
      </c>
      <c r="CP100" s="38">
        <v>5.8157309616453574</v>
      </c>
    </row>
    <row r="101" spans="1:110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>
        <f t="shared" si="131"/>
        <v>0</v>
      </c>
      <c r="O101" s="21">
        <f t="shared" si="132"/>
        <v>0</v>
      </c>
      <c r="P101" s="21">
        <f t="shared" si="133"/>
        <v>0</v>
      </c>
      <c r="Q101" s="23">
        <f t="shared" si="110"/>
        <v>0</v>
      </c>
      <c r="R101" s="21">
        <f t="shared" si="134"/>
        <v>0</v>
      </c>
      <c r="S101" s="21">
        <f t="shared" si="135"/>
        <v>0</v>
      </c>
      <c r="T101" s="21">
        <f t="shared" si="136"/>
        <v>0</v>
      </c>
      <c r="U101" s="21">
        <f t="shared" si="137"/>
        <v>0</v>
      </c>
      <c r="V101" s="21">
        <f t="shared" si="138"/>
        <v>0</v>
      </c>
      <c r="CO101" s="159"/>
      <c r="CP101" s="38"/>
    </row>
    <row r="102" spans="1:110" x14ac:dyDescent="0.2">
      <c r="A102" s="21" t="s">
        <v>111</v>
      </c>
      <c r="B102" s="21" t="s">
        <v>6</v>
      </c>
      <c r="C102" s="21" t="s">
        <v>8</v>
      </c>
      <c r="D102" s="21"/>
      <c r="E102" s="21">
        <v>160</v>
      </c>
      <c r="F102" s="21"/>
      <c r="G102" s="21">
        <v>200</v>
      </c>
      <c r="H102" s="21">
        <v>200</v>
      </c>
      <c r="I102" s="21">
        <v>320</v>
      </c>
      <c r="J102" s="21">
        <v>400</v>
      </c>
      <c r="K102" s="21">
        <v>380</v>
      </c>
      <c r="L102" s="21">
        <v>200</v>
      </c>
      <c r="M102" s="21">
        <v>64</v>
      </c>
      <c r="N102" s="24">
        <f t="shared" si="131"/>
        <v>0</v>
      </c>
      <c r="O102" s="21">
        <f t="shared" si="132"/>
        <v>10240</v>
      </c>
      <c r="P102" s="21">
        <f t="shared" si="133"/>
        <v>0</v>
      </c>
      <c r="Q102" s="23">
        <f t="shared" si="110"/>
        <v>12800</v>
      </c>
      <c r="R102" s="21">
        <f t="shared" si="134"/>
        <v>12800</v>
      </c>
      <c r="S102" s="21">
        <f t="shared" si="135"/>
        <v>20480</v>
      </c>
      <c r="T102" s="21">
        <f t="shared" si="136"/>
        <v>25600</v>
      </c>
      <c r="U102" s="21">
        <f t="shared" si="137"/>
        <v>24320</v>
      </c>
      <c r="V102" s="21">
        <f t="shared" si="138"/>
        <v>12800</v>
      </c>
      <c r="CO102" s="70" t="s">
        <v>304</v>
      </c>
      <c r="CP102">
        <v>4.7873818788215674</v>
      </c>
    </row>
    <row r="103" spans="1:110" x14ac:dyDescent="0.2">
      <c r="A103" s="21" t="s">
        <v>183</v>
      </c>
      <c r="B103" s="21" t="s">
        <v>6</v>
      </c>
      <c r="C103" s="21" t="s">
        <v>8</v>
      </c>
      <c r="D103" s="21"/>
      <c r="E103" s="21"/>
      <c r="F103" s="21"/>
      <c r="G103" s="21"/>
      <c r="H103" s="21"/>
      <c r="I103" s="21"/>
      <c r="J103" s="21">
        <v>70</v>
      </c>
      <c r="K103" s="21">
        <v>200</v>
      </c>
      <c r="L103" s="21">
        <v>200</v>
      </c>
      <c r="M103" s="21">
        <v>64</v>
      </c>
      <c r="N103" s="24">
        <f t="shared" si="131"/>
        <v>0</v>
      </c>
      <c r="O103" s="21">
        <f t="shared" si="132"/>
        <v>0</v>
      </c>
      <c r="P103" s="21">
        <f t="shared" si="133"/>
        <v>0</v>
      </c>
      <c r="Q103" s="23">
        <f t="shared" si="110"/>
        <v>0</v>
      </c>
      <c r="R103" s="21">
        <f t="shared" si="134"/>
        <v>0</v>
      </c>
      <c r="S103" s="21">
        <f t="shared" si="135"/>
        <v>0</v>
      </c>
      <c r="T103" s="21">
        <f t="shared" si="136"/>
        <v>4480</v>
      </c>
      <c r="U103" s="21">
        <f t="shared" si="137"/>
        <v>12800</v>
      </c>
      <c r="V103" s="21">
        <f t="shared" si="138"/>
        <v>12800</v>
      </c>
      <c r="CO103" s="70" t="s">
        <v>305</v>
      </c>
      <c r="CP103">
        <v>89.396887159533065</v>
      </c>
    </row>
    <row r="104" spans="1:110" x14ac:dyDescent="0.2">
      <c r="A104" s="21" t="s">
        <v>112</v>
      </c>
      <c r="B104" s="21" t="s">
        <v>38</v>
      </c>
      <c r="C104" s="21" t="s">
        <v>36</v>
      </c>
      <c r="D104" s="21">
        <v>37.200000000000003</v>
      </c>
      <c r="E104" s="21">
        <v>26</v>
      </c>
      <c r="F104" s="21">
        <v>9.1999999999999993</v>
      </c>
      <c r="G104" s="21">
        <v>4.5</v>
      </c>
      <c r="H104" s="21"/>
      <c r="I104" s="21"/>
      <c r="J104" s="21"/>
      <c r="K104" s="21"/>
      <c r="L104" s="21"/>
      <c r="M104" s="21">
        <v>9343.5</v>
      </c>
      <c r="N104" s="24">
        <f t="shared" si="131"/>
        <v>347578.2</v>
      </c>
      <c r="O104" s="21">
        <f t="shared" si="132"/>
        <v>242931</v>
      </c>
      <c r="P104" s="21">
        <f t="shared" si="133"/>
        <v>85960.2</v>
      </c>
      <c r="Q104" s="23">
        <f t="shared" si="110"/>
        <v>42045.75</v>
      </c>
      <c r="R104" s="21">
        <f t="shared" si="134"/>
        <v>0</v>
      </c>
      <c r="S104" s="21">
        <f t="shared" si="135"/>
        <v>0</v>
      </c>
      <c r="T104" s="21">
        <f t="shared" si="136"/>
        <v>0</v>
      </c>
      <c r="U104" s="21">
        <f t="shared" si="137"/>
        <v>0</v>
      </c>
      <c r="V104" s="21">
        <f t="shared" si="138"/>
        <v>0</v>
      </c>
    </row>
    <row r="105" spans="1:110" x14ac:dyDescent="0.2">
      <c r="A105" s="21" t="s">
        <v>113</v>
      </c>
      <c r="B105" s="21" t="s">
        <v>93</v>
      </c>
      <c r="C105" s="21" t="s">
        <v>9</v>
      </c>
      <c r="D105" s="21"/>
      <c r="E105" s="21">
        <v>2.5</v>
      </c>
      <c r="F105" s="21">
        <v>17.100000000000001</v>
      </c>
      <c r="G105" s="21"/>
      <c r="H105" s="21"/>
      <c r="I105" s="21"/>
      <c r="J105" s="21"/>
      <c r="K105" s="21"/>
      <c r="L105" s="21"/>
      <c r="M105" s="21">
        <v>668.4</v>
      </c>
      <c r="N105" s="24">
        <f t="shared" si="131"/>
        <v>0</v>
      </c>
      <c r="O105" s="21">
        <f t="shared" si="132"/>
        <v>1671</v>
      </c>
      <c r="P105" s="21">
        <f t="shared" si="133"/>
        <v>11429.640000000001</v>
      </c>
      <c r="Q105" s="23">
        <f t="shared" si="110"/>
        <v>0</v>
      </c>
      <c r="R105" s="21">
        <f t="shared" si="134"/>
        <v>0</v>
      </c>
      <c r="S105" s="21">
        <f t="shared" si="135"/>
        <v>0</v>
      </c>
      <c r="T105" s="21">
        <f t="shared" si="136"/>
        <v>0</v>
      </c>
      <c r="U105" s="21">
        <f t="shared" si="137"/>
        <v>0</v>
      </c>
      <c r="V105" s="21">
        <f t="shared" si="138"/>
        <v>0</v>
      </c>
      <c r="CP105">
        <v>1990</v>
      </c>
    </row>
    <row r="106" spans="1:110" ht="12.75" customHeight="1" x14ac:dyDescent="0.2">
      <c r="A106" s="21" t="s">
        <v>114</v>
      </c>
      <c r="B106" s="21" t="s">
        <v>115</v>
      </c>
      <c r="C106" s="21" t="s">
        <v>9</v>
      </c>
      <c r="D106" s="21">
        <v>130</v>
      </c>
      <c r="E106" s="21">
        <v>100</v>
      </c>
      <c r="F106" s="21">
        <v>100</v>
      </c>
      <c r="G106" s="21"/>
      <c r="H106" s="21"/>
      <c r="I106" s="21"/>
      <c r="J106" s="21"/>
      <c r="K106" s="21"/>
      <c r="L106" s="21"/>
      <c r="M106" s="21"/>
      <c r="N106" s="24">
        <f t="shared" si="131"/>
        <v>0</v>
      </c>
      <c r="O106" s="21">
        <f t="shared" si="132"/>
        <v>0</v>
      </c>
      <c r="P106" s="21">
        <f t="shared" si="133"/>
        <v>0</v>
      </c>
      <c r="Q106" s="23">
        <f t="shared" si="110"/>
        <v>0</v>
      </c>
      <c r="R106" s="21">
        <f t="shared" si="134"/>
        <v>0</v>
      </c>
      <c r="S106" s="21">
        <f t="shared" si="135"/>
        <v>0</v>
      </c>
      <c r="T106" s="21">
        <f t="shared" si="136"/>
        <v>0</v>
      </c>
      <c r="U106" s="21">
        <f t="shared" si="137"/>
        <v>0</v>
      </c>
      <c r="V106" s="21">
        <f t="shared" si="138"/>
        <v>0</v>
      </c>
      <c r="CO106" s="159" t="s">
        <v>303</v>
      </c>
      <c r="CP106">
        <v>58.513922350317017</v>
      </c>
    </row>
    <row r="107" spans="1:110" x14ac:dyDescent="0.2">
      <c r="A107" s="21" t="s">
        <v>116</v>
      </c>
      <c r="B107" s="21" t="s">
        <v>21</v>
      </c>
      <c r="C107" s="21" t="s">
        <v>20</v>
      </c>
      <c r="D107" s="21"/>
      <c r="E107" s="21">
        <v>3.4</v>
      </c>
      <c r="F107" s="21">
        <v>3.4</v>
      </c>
      <c r="G107" s="21">
        <v>2.6</v>
      </c>
      <c r="H107" s="21"/>
      <c r="I107" s="21"/>
      <c r="J107" s="21"/>
      <c r="K107" s="21"/>
      <c r="L107" s="21"/>
      <c r="M107" s="21">
        <v>6891.6</v>
      </c>
      <c r="N107" s="24">
        <f t="shared" si="131"/>
        <v>0</v>
      </c>
      <c r="O107" s="21">
        <f t="shared" si="132"/>
        <v>23431.440000000002</v>
      </c>
      <c r="P107" s="21">
        <f t="shared" si="133"/>
        <v>23431.440000000002</v>
      </c>
      <c r="Q107" s="23">
        <f t="shared" si="110"/>
        <v>17918.16</v>
      </c>
      <c r="R107" s="21">
        <f t="shared" si="134"/>
        <v>0</v>
      </c>
      <c r="S107" s="21">
        <f t="shared" si="135"/>
        <v>0</v>
      </c>
      <c r="T107" s="21">
        <f t="shared" si="136"/>
        <v>0</v>
      </c>
      <c r="U107" s="21">
        <f t="shared" si="137"/>
        <v>0</v>
      </c>
      <c r="V107" s="21">
        <f t="shared" si="138"/>
        <v>0</v>
      </c>
      <c r="CO107" s="159"/>
    </row>
    <row r="108" spans="1:110" x14ac:dyDescent="0.2">
      <c r="A108" s="21" t="s">
        <v>117</v>
      </c>
      <c r="B108" s="21" t="s">
        <v>42</v>
      </c>
      <c r="C108" s="21" t="s">
        <v>9</v>
      </c>
      <c r="D108" s="21"/>
      <c r="E108" s="21">
        <v>1</v>
      </c>
      <c r="F108" s="21">
        <v>1</v>
      </c>
      <c r="G108" s="21"/>
      <c r="H108" s="21"/>
      <c r="I108" s="21"/>
      <c r="J108" s="21"/>
      <c r="K108" s="21"/>
      <c r="L108" s="21"/>
      <c r="M108" s="21">
        <v>220</v>
      </c>
      <c r="N108" s="24">
        <f t="shared" si="131"/>
        <v>0</v>
      </c>
      <c r="O108" s="21">
        <f t="shared" si="132"/>
        <v>220</v>
      </c>
      <c r="P108" s="21">
        <f t="shared" si="133"/>
        <v>220</v>
      </c>
      <c r="Q108" s="23">
        <f t="shared" si="110"/>
        <v>0</v>
      </c>
      <c r="R108" s="21">
        <f t="shared" si="134"/>
        <v>0</v>
      </c>
      <c r="S108" s="21">
        <f t="shared" si="135"/>
        <v>0</v>
      </c>
      <c r="T108" s="21">
        <f t="shared" si="136"/>
        <v>0</v>
      </c>
      <c r="U108" s="21">
        <f t="shared" si="137"/>
        <v>0</v>
      </c>
      <c r="V108" s="21">
        <f t="shared" si="138"/>
        <v>0</v>
      </c>
      <c r="CO108" s="70" t="s">
        <v>304</v>
      </c>
      <c r="CP108">
        <v>9.0447523922781627</v>
      </c>
    </row>
    <row r="109" spans="1:110" x14ac:dyDescent="0.2">
      <c r="A109" s="21"/>
      <c r="B109" s="21" t="s">
        <v>19</v>
      </c>
      <c r="C109" s="21" t="s">
        <v>9</v>
      </c>
      <c r="D109" s="21"/>
      <c r="E109" s="21">
        <v>0.3</v>
      </c>
      <c r="F109" s="21">
        <v>0.3</v>
      </c>
      <c r="G109" s="21"/>
      <c r="H109" s="21"/>
      <c r="I109" s="21"/>
      <c r="J109" s="21"/>
      <c r="K109" s="21"/>
      <c r="L109" s="21"/>
      <c r="M109" s="21">
        <v>140</v>
      </c>
      <c r="N109" s="24">
        <f t="shared" si="131"/>
        <v>0</v>
      </c>
      <c r="O109" s="21">
        <f t="shared" si="132"/>
        <v>42</v>
      </c>
      <c r="P109" s="21">
        <f t="shared" si="133"/>
        <v>42</v>
      </c>
      <c r="Q109" s="23">
        <f t="shared" si="110"/>
        <v>0</v>
      </c>
      <c r="R109" s="21">
        <f t="shared" si="134"/>
        <v>0</v>
      </c>
      <c r="S109" s="21">
        <f t="shared" si="135"/>
        <v>0</v>
      </c>
      <c r="T109" s="21">
        <f t="shared" si="136"/>
        <v>0</v>
      </c>
      <c r="U109" s="21">
        <f t="shared" si="137"/>
        <v>0</v>
      </c>
      <c r="V109" s="21">
        <f t="shared" si="138"/>
        <v>0</v>
      </c>
      <c r="AH109">
        <v>1940</v>
      </c>
      <c r="AI109">
        <v>1990</v>
      </c>
      <c r="AJ109" s="1">
        <v>2009</v>
      </c>
      <c r="AK109">
        <v>2010</v>
      </c>
      <c r="AL109">
        <v>2012</v>
      </c>
      <c r="CO109" s="70" t="s">
        <v>305</v>
      </c>
      <c r="CP109">
        <v>32.44132525740482</v>
      </c>
    </row>
    <row r="110" spans="1:110" x14ac:dyDescent="0.2">
      <c r="A110" s="25"/>
      <c r="B110" s="25" t="s">
        <v>95</v>
      </c>
      <c r="C110" s="25" t="s">
        <v>3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3">
        <f t="shared" si="110"/>
        <v>0</v>
      </c>
      <c r="R110" s="25"/>
      <c r="S110" s="25"/>
      <c r="T110" s="25"/>
      <c r="U110" s="25"/>
      <c r="V110" s="25"/>
      <c r="AH110" s="21">
        <v>83.8</v>
      </c>
      <c r="AI110" s="27">
        <v>18117.3</v>
      </c>
      <c r="AJ110" s="1">
        <v>5076.2</v>
      </c>
      <c r="AK110" s="19">
        <v>5784.8</v>
      </c>
      <c r="AL110">
        <v>4090</v>
      </c>
      <c r="CP110" s="34">
        <v>2005</v>
      </c>
    </row>
    <row r="111" spans="1:110" x14ac:dyDescent="0.2">
      <c r="A111" s="21" t="s">
        <v>118</v>
      </c>
      <c r="B111" s="21" t="s">
        <v>42</v>
      </c>
      <c r="C111" s="21" t="s">
        <v>9</v>
      </c>
      <c r="D111" s="21"/>
      <c r="E111" s="21">
        <v>4</v>
      </c>
      <c r="F111" s="21">
        <v>4</v>
      </c>
      <c r="G111" s="21">
        <v>1</v>
      </c>
      <c r="H111" s="21"/>
      <c r="I111" s="21"/>
      <c r="J111" s="21"/>
      <c r="K111" s="21"/>
      <c r="L111" s="21"/>
      <c r="M111" s="21">
        <v>220</v>
      </c>
      <c r="N111" s="24">
        <f>D111*M111</f>
        <v>0</v>
      </c>
      <c r="O111" s="21">
        <f>E111*M111</f>
        <v>880</v>
      </c>
      <c r="P111" s="21">
        <f>F111*M111</f>
        <v>880</v>
      </c>
      <c r="Q111" s="23">
        <f t="shared" si="110"/>
        <v>220</v>
      </c>
      <c r="R111" s="21">
        <f>H111*M111</f>
        <v>0</v>
      </c>
      <c r="S111" s="21">
        <f>I111*M111</f>
        <v>0</v>
      </c>
      <c r="T111" s="21">
        <f>J111*M111</f>
        <v>0</v>
      </c>
      <c r="U111" s="21">
        <f>K111*M111</f>
        <v>0</v>
      </c>
      <c r="V111" s="21">
        <f>L111*M111</f>
        <v>0</v>
      </c>
      <c r="AH111">
        <v>15</v>
      </c>
      <c r="AI111">
        <v>2301</v>
      </c>
      <c r="AJ111">
        <v>572</v>
      </c>
      <c r="AK111">
        <v>607</v>
      </c>
      <c r="AL111">
        <v>730</v>
      </c>
      <c r="CO111" s="163" t="s">
        <v>250</v>
      </c>
      <c r="CP111" s="158">
        <v>32</v>
      </c>
    </row>
    <row r="112" spans="1:110" x14ac:dyDescent="0.2">
      <c r="A112" s="21"/>
      <c r="B112" s="21" t="s">
        <v>19</v>
      </c>
      <c r="C112" s="21" t="s">
        <v>9</v>
      </c>
      <c r="D112" s="21"/>
      <c r="E112" s="21">
        <v>1.2</v>
      </c>
      <c r="F112" s="21">
        <v>1.2</v>
      </c>
      <c r="G112" s="21">
        <v>0.3</v>
      </c>
      <c r="H112" s="21"/>
      <c r="I112" s="21"/>
      <c r="J112" s="21"/>
      <c r="K112" s="21"/>
      <c r="L112" s="21"/>
      <c r="M112" s="21">
        <v>140</v>
      </c>
      <c r="N112" s="24">
        <f>D112*M112</f>
        <v>0</v>
      </c>
      <c r="O112" s="21">
        <f>E112*M112</f>
        <v>168</v>
      </c>
      <c r="P112" s="21">
        <f>F112*M112</f>
        <v>168</v>
      </c>
      <c r="Q112" s="23">
        <f t="shared" si="110"/>
        <v>42</v>
      </c>
      <c r="R112" s="21">
        <f>H112*M112</f>
        <v>0</v>
      </c>
      <c r="S112" s="21">
        <f>I112*M112</f>
        <v>0</v>
      </c>
      <c r="T112" s="21">
        <f>J112*M112</f>
        <v>0</v>
      </c>
      <c r="U112" s="21">
        <f>K112*M112</f>
        <v>0</v>
      </c>
      <c r="V112" s="21">
        <f>L112*M112</f>
        <v>0</v>
      </c>
      <c r="AH112" s="4">
        <f>83.8/15</f>
        <v>5.5866666666666669</v>
      </c>
      <c r="AI112" s="4">
        <f>18117.3/2301</f>
        <v>7.8736636245110816</v>
      </c>
      <c r="AJ112" s="4">
        <f>5076.2/572</f>
        <v>8.8744755244755247</v>
      </c>
      <c r="AK112">
        <f>AK110/AK111</f>
        <v>9.5301482701812201</v>
      </c>
      <c r="AL112" s="4">
        <f>AL110/AL111</f>
        <v>5.602739726027397</v>
      </c>
      <c r="CO112" s="164"/>
      <c r="CP112" s="158"/>
    </row>
    <row r="113" spans="1:94" x14ac:dyDescent="0.2">
      <c r="A113" s="25"/>
      <c r="B113" s="25" t="s">
        <v>95</v>
      </c>
      <c r="C113" s="25" t="s">
        <v>3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3">
        <f t="shared" si="110"/>
        <v>0</v>
      </c>
      <c r="R113" s="25"/>
      <c r="S113" s="25"/>
      <c r="T113" s="25"/>
      <c r="U113" s="25"/>
      <c r="V113" s="25"/>
      <c r="CO113" t="s">
        <v>237</v>
      </c>
      <c r="CP113" s="38">
        <v>31.9</v>
      </c>
    </row>
    <row r="114" spans="1:94" x14ac:dyDescent="0.2">
      <c r="A114" s="21" t="s">
        <v>119</v>
      </c>
      <c r="B114" s="21" t="s">
        <v>42</v>
      </c>
      <c r="C114" s="21" t="s">
        <v>9</v>
      </c>
      <c r="D114" s="21"/>
      <c r="E114" s="21">
        <v>3</v>
      </c>
      <c r="F114" s="21"/>
      <c r="G114" s="21"/>
      <c r="H114" s="21"/>
      <c r="I114" s="21"/>
      <c r="J114" s="21"/>
      <c r="K114" s="21"/>
      <c r="L114" s="21"/>
      <c r="M114" s="21">
        <v>220</v>
      </c>
      <c r="N114" s="24">
        <f>D114*M114</f>
        <v>0</v>
      </c>
      <c r="O114" s="21">
        <f>E114*M114</f>
        <v>660</v>
      </c>
      <c r="P114" s="21">
        <f>F114*M114</f>
        <v>0</v>
      </c>
      <c r="Q114" s="23">
        <f t="shared" si="110"/>
        <v>0</v>
      </c>
      <c r="R114" s="21">
        <f>H114*M114</f>
        <v>0</v>
      </c>
      <c r="S114" s="21">
        <f>I114*M114</f>
        <v>0</v>
      </c>
      <c r="T114" s="21">
        <f>J114*M114</f>
        <v>0</v>
      </c>
      <c r="U114" s="21">
        <f>K114*M114</f>
        <v>0</v>
      </c>
      <c r="V114" s="21">
        <f>L114*M114</f>
        <v>0</v>
      </c>
      <c r="AH114">
        <v>1940</v>
      </c>
      <c r="AI114">
        <v>1990</v>
      </c>
      <c r="AJ114">
        <v>2009</v>
      </c>
      <c r="AK114">
        <v>2010</v>
      </c>
      <c r="AL114">
        <v>2012</v>
      </c>
      <c r="AM114">
        <v>2013</v>
      </c>
      <c r="AN114">
        <v>2014</v>
      </c>
      <c r="CO114" t="s">
        <v>238</v>
      </c>
      <c r="CP114" s="38">
        <v>36.1</v>
      </c>
    </row>
    <row r="115" spans="1:94" x14ac:dyDescent="0.2">
      <c r="A115" s="21"/>
      <c r="B115" s="21" t="s">
        <v>19</v>
      </c>
      <c r="C115" s="21" t="s">
        <v>9</v>
      </c>
      <c r="D115" s="21"/>
      <c r="E115" s="21">
        <v>0.9</v>
      </c>
      <c r="F115" s="21"/>
      <c r="G115" s="21"/>
      <c r="H115" s="21"/>
      <c r="I115" s="21"/>
      <c r="J115" s="21"/>
      <c r="K115" s="21"/>
      <c r="L115" s="21"/>
      <c r="M115" s="21">
        <v>140</v>
      </c>
      <c r="N115" s="24">
        <f>D115*M115</f>
        <v>0</v>
      </c>
      <c r="O115" s="21">
        <f>E115*M115</f>
        <v>126</v>
      </c>
      <c r="P115" s="21">
        <f>F115*M115</f>
        <v>0</v>
      </c>
      <c r="Q115" s="23">
        <f t="shared" si="110"/>
        <v>0</v>
      </c>
      <c r="R115" s="21">
        <f>H115*M115</f>
        <v>0</v>
      </c>
      <c r="S115" s="21">
        <f>I115*M115</f>
        <v>0</v>
      </c>
      <c r="T115" s="21">
        <f>J115*M115</f>
        <v>0</v>
      </c>
      <c r="U115" s="21">
        <f>K115*M115</f>
        <v>0</v>
      </c>
      <c r="V115" s="21">
        <f>L115*M115</f>
        <v>0</v>
      </c>
      <c r="AG115" s="28" t="s">
        <v>236</v>
      </c>
      <c r="AH115">
        <v>5.6</v>
      </c>
      <c r="AI115">
        <v>7.9</v>
      </c>
      <c r="AJ115">
        <v>8.9</v>
      </c>
      <c r="AK115">
        <v>9.5</v>
      </c>
      <c r="AL115">
        <v>5.6</v>
      </c>
      <c r="AM115">
        <v>5.6</v>
      </c>
      <c r="AN115">
        <v>5.5</v>
      </c>
    </row>
    <row r="116" spans="1:94" x14ac:dyDescent="0.2">
      <c r="A116" s="25"/>
      <c r="B116" s="25" t="s">
        <v>95</v>
      </c>
      <c r="C116" s="25" t="s">
        <v>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3">
        <f t="shared" si="110"/>
        <v>0</v>
      </c>
      <c r="R116" s="25"/>
      <c r="S116" s="25"/>
      <c r="T116" s="25"/>
      <c r="U116" s="25"/>
      <c r="V116" s="25"/>
      <c r="AN116" s="21"/>
      <c r="AO116" s="27"/>
    </row>
    <row r="117" spans="1:94" x14ac:dyDescent="0.2">
      <c r="A117" s="21" t="s">
        <v>120</v>
      </c>
      <c r="B117" s="21" t="s">
        <v>59</v>
      </c>
      <c r="C117" s="21" t="s">
        <v>9</v>
      </c>
      <c r="D117" s="21"/>
      <c r="E117" s="21">
        <v>15</v>
      </c>
      <c r="F117" s="21">
        <v>15</v>
      </c>
      <c r="G117" s="21"/>
      <c r="H117" s="21"/>
      <c r="I117" s="21"/>
      <c r="J117" s="21"/>
      <c r="K117" s="21"/>
      <c r="L117" s="21"/>
      <c r="M117" s="21">
        <v>220</v>
      </c>
      <c r="N117" s="24">
        <f>D117*M117</f>
        <v>0</v>
      </c>
      <c r="O117" s="21">
        <f>E117*M117</f>
        <v>3300</v>
      </c>
      <c r="P117" s="21">
        <f>F117*M117</f>
        <v>3300</v>
      </c>
      <c r="Q117" s="23">
        <f t="shared" si="110"/>
        <v>0</v>
      </c>
      <c r="R117" s="21">
        <f>H117*M117</f>
        <v>0</v>
      </c>
      <c r="S117" s="21">
        <f>I117*M117</f>
        <v>0</v>
      </c>
      <c r="T117" s="21">
        <f>J117*M117</f>
        <v>0</v>
      </c>
      <c r="U117" s="21">
        <f>K117*M117</f>
        <v>0</v>
      </c>
      <c r="V117" s="21">
        <f>L117*M117</f>
        <v>0</v>
      </c>
      <c r="AK117">
        <v>2011</v>
      </c>
      <c r="AL117">
        <v>2012</v>
      </c>
      <c r="AM117">
        <v>2013</v>
      </c>
      <c r="AN117">
        <v>2014</v>
      </c>
    </row>
    <row r="118" spans="1:94" x14ac:dyDescent="0.2">
      <c r="A118" s="21"/>
      <c r="B118" s="21" t="s">
        <v>88</v>
      </c>
      <c r="C118" s="21" t="s">
        <v>9</v>
      </c>
      <c r="D118" s="21"/>
      <c r="E118" s="21">
        <v>4.5</v>
      </c>
      <c r="F118" s="21">
        <v>4.5</v>
      </c>
      <c r="G118" s="21"/>
      <c r="H118" s="21"/>
      <c r="I118" s="21"/>
      <c r="J118" s="21"/>
      <c r="K118" s="21"/>
      <c r="L118" s="21"/>
      <c r="M118" s="21">
        <v>140</v>
      </c>
      <c r="N118" s="24">
        <f>D118*M118</f>
        <v>0</v>
      </c>
      <c r="O118" s="21">
        <f>E118*M118</f>
        <v>630</v>
      </c>
      <c r="P118" s="21">
        <f>F118*M118</f>
        <v>630</v>
      </c>
      <c r="Q118" s="23">
        <f t="shared" si="110"/>
        <v>0</v>
      </c>
      <c r="R118" s="21">
        <f>H118*M118</f>
        <v>0</v>
      </c>
      <c r="S118" s="21">
        <f>I118*M118</f>
        <v>0</v>
      </c>
      <c r="T118" s="21">
        <f>J118*M118</f>
        <v>0</v>
      </c>
      <c r="U118" s="21">
        <f>K118*M118</f>
        <v>0</v>
      </c>
      <c r="V118" s="21">
        <f>L118*M118</f>
        <v>0</v>
      </c>
      <c r="AJ118" s="28" t="s">
        <v>313</v>
      </c>
      <c r="AK118" s="19">
        <f>SUM(AK93+AK96+AK98+AK100+AK102+AK110+AK112+AK115+AK116)</f>
        <v>5803.8301482701818</v>
      </c>
      <c r="AL118" s="1">
        <v>4089.8</v>
      </c>
      <c r="AM118" s="19">
        <f>SUM(AM93:AM116)-AM102-AM93</f>
        <v>2018.6</v>
      </c>
      <c r="AN118" s="19">
        <f t="shared" ref="AN118" si="139">AM118+AP118</f>
        <v>2018.6</v>
      </c>
      <c r="CP118">
        <v>2012</v>
      </c>
    </row>
    <row r="119" spans="1:94" x14ac:dyDescent="0.2">
      <c r="A119" s="25"/>
      <c r="B119" s="25" t="s">
        <v>95</v>
      </c>
      <c r="C119" s="25" t="s">
        <v>3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3">
        <f t="shared" si="110"/>
        <v>0</v>
      </c>
      <c r="R119" s="25"/>
      <c r="S119" s="25"/>
      <c r="T119" s="25"/>
      <c r="U119" s="25"/>
      <c r="V119" s="25"/>
      <c r="AJ119" s="28" t="s">
        <v>314</v>
      </c>
      <c r="AK119">
        <v>705</v>
      </c>
      <c r="AL119">
        <v>730</v>
      </c>
      <c r="AM119">
        <v>752</v>
      </c>
      <c r="AN119">
        <v>897</v>
      </c>
      <c r="BR119" s="34">
        <v>1940</v>
      </c>
      <c r="BS119" s="34">
        <v>1950</v>
      </c>
      <c r="BT119" s="34">
        <v>1960</v>
      </c>
      <c r="BU119" s="34">
        <v>1970</v>
      </c>
      <c r="BV119" s="34">
        <v>1980</v>
      </c>
      <c r="BW119" s="34">
        <v>1990</v>
      </c>
      <c r="BX119" s="34">
        <v>2000</v>
      </c>
      <c r="BY119" s="34">
        <v>2001</v>
      </c>
      <c r="BZ119" s="34">
        <v>2002</v>
      </c>
      <c r="CA119" s="34">
        <v>2003</v>
      </c>
      <c r="CB119" s="34">
        <v>2004</v>
      </c>
      <c r="CC119" s="34">
        <v>2005</v>
      </c>
      <c r="CD119" s="34">
        <v>2006</v>
      </c>
      <c r="CE119" s="34">
        <v>2007</v>
      </c>
      <c r="CF119" s="34">
        <v>2008</v>
      </c>
      <c r="CG119" s="34">
        <v>2009</v>
      </c>
      <c r="CH119" s="34">
        <v>2010</v>
      </c>
      <c r="CI119" s="34">
        <v>2011</v>
      </c>
      <c r="CJ119" s="34"/>
      <c r="CK119" s="34"/>
      <c r="CL119" s="34"/>
      <c r="CM119" s="34"/>
    </row>
    <row r="120" spans="1:94" x14ac:dyDescent="0.2">
      <c r="A120" s="21" t="s">
        <v>121</v>
      </c>
      <c r="B120" s="21" t="s">
        <v>42</v>
      </c>
      <c r="C120" s="21" t="s">
        <v>9</v>
      </c>
      <c r="D120" s="21"/>
      <c r="E120" s="21">
        <v>5</v>
      </c>
      <c r="F120" s="21">
        <v>5</v>
      </c>
      <c r="G120" s="21">
        <v>3</v>
      </c>
      <c r="H120" s="21">
        <v>24</v>
      </c>
      <c r="I120" s="21"/>
      <c r="J120" s="21"/>
      <c r="K120" s="21"/>
      <c r="L120" s="21"/>
      <c r="M120" s="21">
        <v>220</v>
      </c>
      <c r="N120" s="24">
        <f>D120*M120</f>
        <v>0</v>
      </c>
      <c r="O120" s="21">
        <f>E120*M120</f>
        <v>1100</v>
      </c>
      <c r="P120" s="21">
        <f>F120*M120</f>
        <v>1100</v>
      </c>
      <c r="Q120" s="23">
        <f t="shared" si="110"/>
        <v>660</v>
      </c>
      <c r="R120" s="21">
        <f>H120*M120</f>
        <v>5280</v>
      </c>
      <c r="S120" s="21">
        <f>I120*M120</f>
        <v>0</v>
      </c>
      <c r="T120" s="21">
        <f>J120*M120</f>
        <v>0</v>
      </c>
      <c r="U120" s="21">
        <f>K120*M120</f>
        <v>0</v>
      </c>
      <c r="V120" s="21">
        <f>L120*M120</f>
        <v>0</v>
      </c>
      <c r="AJ120" s="28" t="s">
        <v>315</v>
      </c>
      <c r="AK120" s="4">
        <f>AK118/AK119</f>
        <v>8.2323831890357191</v>
      </c>
      <c r="AL120" s="4">
        <f>AL118/AL119</f>
        <v>5.6024657534246574</v>
      </c>
      <c r="AM120" s="4">
        <f t="shared" ref="AM120:AN120" si="140">AM118/AM119</f>
        <v>2.6843085106382976</v>
      </c>
      <c r="AN120" s="4">
        <f t="shared" si="140"/>
        <v>2.2503901895206244</v>
      </c>
      <c r="BQ120" t="s">
        <v>238</v>
      </c>
      <c r="BR120" s="1">
        <v>83.8</v>
      </c>
      <c r="BS120" s="1">
        <v>405.99999999999994</v>
      </c>
      <c r="BT120" s="1">
        <v>1286.6000000000001</v>
      </c>
      <c r="BU120" s="1">
        <v>1399.9</v>
      </c>
      <c r="BV120" s="1">
        <v>3049.4</v>
      </c>
      <c r="BW120" s="1">
        <v>5265.0000000000009</v>
      </c>
      <c r="BX120" s="1">
        <v>510.9</v>
      </c>
      <c r="BY120" s="1">
        <v>993.30000000000007</v>
      </c>
      <c r="BZ120" s="1">
        <v>1025.3</v>
      </c>
      <c r="CA120" s="1">
        <v>860.99999999999989</v>
      </c>
      <c r="CB120" s="1">
        <v>996.6</v>
      </c>
      <c r="CC120" s="1">
        <v>938.69999999999993</v>
      </c>
      <c r="CD120" s="1">
        <v>1889.8999999999999</v>
      </c>
      <c r="CE120" s="1">
        <v>2401.8999999999996</v>
      </c>
      <c r="CF120" s="1">
        <v>2409.7000000000003</v>
      </c>
      <c r="CG120" s="1">
        <v>3340.6</v>
      </c>
      <c r="CH120" s="1">
        <v>3943</v>
      </c>
      <c r="CI120" s="1">
        <v>4348.8999999999996</v>
      </c>
      <c r="CJ120" s="1"/>
      <c r="CK120" s="1"/>
      <c r="CL120" s="1"/>
      <c r="CM120" s="1"/>
      <c r="CO120" s="163" t="s">
        <v>250</v>
      </c>
      <c r="CP120" s="167">
        <v>38</v>
      </c>
    </row>
    <row r="121" spans="1:94" x14ac:dyDescent="0.2">
      <c r="A121" s="21"/>
      <c r="B121" s="21" t="s">
        <v>88</v>
      </c>
      <c r="C121" s="21" t="s">
        <v>9</v>
      </c>
      <c r="D121" s="21"/>
      <c r="E121" s="21">
        <v>2.1</v>
      </c>
      <c r="F121" s="21">
        <v>2.1</v>
      </c>
      <c r="G121" s="21">
        <v>1.8</v>
      </c>
      <c r="H121" s="21">
        <v>4</v>
      </c>
      <c r="I121" s="21"/>
      <c r="J121" s="21"/>
      <c r="K121" s="21"/>
      <c r="L121" s="21"/>
      <c r="M121" s="21">
        <v>140</v>
      </c>
      <c r="N121" s="24">
        <f>D121*M121</f>
        <v>0</v>
      </c>
      <c r="O121" s="21">
        <f>E121*M121</f>
        <v>294</v>
      </c>
      <c r="P121" s="21">
        <f>F121*M121</f>
        <v>294</v>
      </c>
      <c r="Q121" s="23">
        <f t="shared" si="110"/>
        <v>252</v>
      </c>
      <c r="R121" s="21">
        <f>H121*M121</f>
        <v>560</v>
      </c>
      <c r="S121" s="21">
        <f>I121*M121</f>
        <v>0</v>
      </c>
      <c r="T121" s="21">
        <f>J121*M121</f>
        <v>0</v>
      </c>
      <c r="U121" s="21">
        <f>K121*M121</f>
        <v>0</v>
      </c>
      <c r="V121" s="21">
        <f>L121*M121</f>
        <v>0</v>
      </c>
      <c r="BQ121" s="31" t="s">
        <v>241</v>
      </c>
      <c r="BR121" s="33">
        <v>80.599999999999994</v>
      </c>
      <c r="BS121" s="33">
        <v>402.29999999999995</v>
      </c>
      <c r="BT121" s="33">
        <v>1251.3000000000002</v>
      </c>
      <c r="BU121" s="33">
        <v>1342.2</v>
      </c>
      <c r="BV121" s="33">
        <v>2960</v>
      </c>
      <c r="BW121" s="33">
        <v>4925.2000000000007</v>
      </c>
      <c r="BX121" s="33">
        <v>400</v>
      </c>
      <c r="BY121" s="33">
        <v>722.7</v>
      </c>
      <c r="BZ121" s="33">
        <v>815.8</v>
      </c>
      <c r="CA121" s="33">
        <v>687.19999999999993</v>
      </c>
      <c r="CB121" s="33">
        <v>885.2</v>
      </c>
      <c r="CC121" s="33">
        <v>703.4</v>
      </c>
      <c r="CD121" s="33">
        <v>1581.1</v>
      </c>
      <c r="CE121" s="33">
        <v>2081.1999999999998</v>
      </c>
      <c r="CF121" s="33">
        <v>1987.4</v>
      </c>
      <c r="CG121" s="33">
        <v>3001.7</v>
      </c>
      <c r="CH121" s="33">
        <v>3333.2</v>
      </c>
      <c r="CI121" s="33">
        <v>3688.5</v>
      </c>
      <c r="CJ121" s="33"/>
      <c r="CK121" s="33"/>
      <c r="CL121" s="33"/>
      <c r="CM121" s="33"/>
      <c r="CO121" s="164"/>
      <c r="CP121" s="167"/>
    </row>
    <row r="122" spans="1:94" x14ac:dyDescent="0.2">
      <c r="A122" s="25"/>
      <c r="B122" s="25" t="s">
        <v>95</v>
      </c>
      <c r="C122" s="25" t="s">
        <v>3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3">
        <f t="shared" si="110"/>
        <v>0</v>
      </c>
      <c r="R122" s="25"/>
      <c r="S122" s="25"/>
      <c r="T122" s="25"/>
      <c r="U122" s="25"/>
      <c r="V122" s="25"/>
      <c r="BQ122" s="1" t="s">
        <v>242</v>
      </c>
      <c r="BR122" s="1">
        <v>0.79999999999999982</v>
      </c>
      <c r="BS122" s="1">
        <v>0.5</v>
      </c>
      <c r="BT122" s="1">
        <v>5.1999999999999993</v>
      </c>
      <c r="BU122" s="1">
        <v>11.600000000000001</v>
      </c>
      <c r="BV122" s="1">
        <v>21.200000000000003</v>
      </c>
      <c r="BW122" s="1">
        <v>27.799999999999997</v>
      </c>
      <c r="BX122" s="1">
        <v>1.5000000000000002</v>
      </c>
      <c r="BY122" s="1"/>
      <c r="BZ122" s="1">
        <v>0.30000000000000004</v>
      </c>
      <c r="CA122" s="1">
        <v>6.1000000000000005</v>
      </c>
      <c r="CB122" s="1">
        <v>0.9</v>
      </c>
      <c r="CC122" s="1">
        <v>5.7000000000000011</v>
      </c>
      <c r="CD122" s="1">
        <v>3.1</v>
      </c>
      <c r="CE122" s="1">
        <v>3.4</v>
      </c>
      <c r="CF122" s="1">
        <v>3</v>
      </c>
      <c r="CG122" s="1">
        <v>3.4</v>
      </c>
      <c r="CH122" s="1">
        <v>6.9</v>
      </c>
      <c r="CI122" s="1">
        <v>3.9</v>
      </c>
      <c r="CJ122" s="1"/>
      <c r="CK122" s="1"/>
      <c r="CL122" s="1"/>
      <c r="CM122" s="1"/>
      <c r="CO122" t="s">
        <v>237</v>
      </c>
      <c r="CP122" s="19">
        <v>8.5</v>
      </c>
    </row>
    <row r="123" spans="1:94" x14ac:dyDescent="0.2">
      <c r="A123" s="21" t="s">
        <v>122</v>
      </c>
      <c r="B123" s="21" t="s">
        <v>42</v>
      </c>
      <c r="C123" s="21" t="s">
        <v>9</v>
      </c>
      <c r="D123" s="21"/>
      <c r="E123" s="21">
        <v>5</v>
      </c>
      <c r="F123" s="21">
        <v>5</v>
      </c>
      <c r="G123" s="21">
        <v>8</v>
      </c>
      <c r="H123" s="21">
        <v>9</v>
      </c>
      <c r="I123" s="21"/>
      <c r="J123" s="21"/>
      <c r="K123" s="21"/>
      <c r="L123" s="21"/>
      <c r="M123" s="21">
        <v>220</v>
      </c>
      <c r="N123" s="24">
        <f>D123*M123</f>
        <v>0</v>
      </c>
      <c r="O123" s="21">
        <f>E123*M123</f>
        <v>1100</v>
      </c>
      <c r="P123" s="21">
        <f>F123*M123</f>
        <v>1100</v>
      </c>
      <c r="Q123" s="23">
        <f t="shared" si="110"/>
        <v>1760</v>
      </c>
      <c r="R123" s="21">
        <f>H123*M123</f>
        <v>1980</v>
      </c>
      <c r="S123" s="21">
        <f>I123*M123</f>
        <v>0</v>
      </c>
      <c r="T123" s="21">
        <f>J123*M123</f>
        <v>0</v>
      </c>
      <c r="U123" s="21">
        <f>K123*M123</f>
        <v>0</v>
      </c>
      <c r="V123" s="21">
        <f>L123*M123</f>
        <v>0</v>
      </c>
      <c r="BQ123" s="1" t="s">
        <v>243</v>
      </c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O123" t="s">
        <v>238</v>
      </c>
      <c r="CP123">
        <v>53.6</v>
      </c>
    </row>
    <row r="124" spans="1:94" x14ac:dyDescent="0.2">
      <c r="A124" s="21"/>
      <c r="B124" s="21" t="s">
        <v>88</v>
      </c>
      <c r="C124" s="21" t="s">
        <v>9</v>
      </c>
      <c r="D124" s="21"/>
      <c r="E124" s="21">
        <v>2.1</v>
      </c>
      <c r="F124" s="21">
        <v>2.1</v>
      </c>
      <c r="G124" s="21">
        <v>3</v>
      </c>
      <c r="H124" s="21">
        <v>2.1</v>
      </c>
      <c r="I124" s="21"/>
      <c r="J124" s="21"/>
      <c r="K124" s="21"/>
      <c r="L124" s="21"/>
      <c r="M124" s="21">
        <v>140</v>
      </c>
      <c r="N124" s="24">
        <f>D124*M124</f>
        <v>0</v>
      </c>
      <c r="O124" s="21">
        <f>E124*M124</f>
        <v>294</v>
      </c>
      <c r="P124" s="21">
        <f>F124*M124</f>
        <v>294</v>
      </c>
      <c r="Q124" s="23">
        <f t="shared" si="110"/>
        <v>420</v>
      </c>
      <c r="R124" s="21">
        <f>H124*M124</f>
        <v>294</v>
      </c>
      <c r="S124" s="21">
        <f>I124*M124</f>
        <v>0</v>
      </c>
      <c r="T124" s="21">
        <f>J124*M124</f>
        <v>0</v>
      </c>
      <c r="U124" s="21">
        <f>K124*M124</f>
        <v>0</v>
      </c>
      <c r="V124" s="21">
        <f>L124*M124</f>
        <v>0</v>
      </c>
      <c r="BQ124" s="1" t="s">
        <v>244</v>
      </c>
      <c r="BR124" s="1">
        <v>0.2</v>
      </c>
      <c r="BS124" s="1">
        <v>0.8</v>
      </c>
      <c r="BT124" s="1">
        <v>1.5</v>
      </c>
      <c r="BU124" s="1">
        <v>1.6</v>
      </c>
      <c r="BV124" s="1">
        <v>1.6</v>
      </c>
      <c r="BW124" s="1">
        <v>1.4</v>
      </c>
      <c r="BX124" s="1">
        <v>3.9</v>
      </c>
      <c r="BY124" s="1">
        <v>48.1</v>
      </c>
      <c r="BZ124" s="1">
        <v>10.9</v>
      </c>
      <c r="CA124" s="1">
        <v>5.4</v>
      </c>
      <c r="CB124" s="1">
        <v>35.799999999999997</v>
      </c>
      <c r="CC124" s="1">
        <v>25.6</v>
      </c>
      <c r="CD124" s="1">
        <v>9.3000000000000007</v>
      </c>
      <c r="CE124" s="1">
        <v>26.2</v>
      </c>
      <c r="CF124" s="1">
        <v>44.8</v>
      </c>
      <c r="CG124" s="1">
        <v>24.6</v>
      </c>
      <c r="CH124" s="1">
        <v>52.5</v>
      </c>
      <c r="CI124" s="1">
        <v>43.7</v>
      </c>
      <c r="CJ124" s="1"/>
      <c r="CK124" s="1"/>
      <c r="CL124" s="1"/>
      <c r="CM124" s="1"/>
    </row>
    <row r="125" spans="1:94" x14ac:dyDescent="0.2">
      <c r="A125" s="25"/>
      <c r="B125" s="25" t="s">
        <v>95</v>
      </c>
      <c r="C125" s="25" t="s">
        <v>3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3">
        <f t="shared" si="110"/>
        <v>0</v>
      </c>
      <c r="R125" s="25"/>
      <c r="S125" s="25"/>
      <c r="T125" s="25"/>
      <c r="U125" s="25"/>
      <c r="V125" s="25"/>
      <c r="BQ125" s="1" t="s">
        <v>245</v>
      </c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P125">
        <v>1990</v>
      </c>
    </row>
    <row r="126" spans="1:94" x14ac:dyDescent="0.2">
      <c r="A126" s="21" t="s">
        <v>81</v>
      </c>
      <c r="B126" s="21" t="s">
        <v>103</v>
      </c>
      <c r="C126" s="21" t="s">
        <v>15</v>
      </c>
      <c r="D126" s="21"/>
      <c r="E126" s="21">
        <v>108.8</v>
      </c>
      <c r="F126" s="21">
        <v>94</v>
      </c>
      <c r="G126" s="21">
        <v>54.1</v>
      </c>
      <c r="H126" s="21"/>
      <c r="I126" s="21"/>
      <c r="J126" s="21"/>
      <c r="K126" s="21"/>
      <c r="L126" s="21"/>
      <c r="M126" s="21">
        <v>80.599999999999994</v>
      </c>
      <c r="N126" s="24">
        <f>D126*M126</f>
        <v>0</v>
      </c>
      <c r="O126" s="21">
        <f>E126*M126</f>
        <v>8769.2799999999988</v>
      </c>
      <c r="P126" s="21">
        <f>F126*M126</f>
        <v>7576.4</v>
      </c>
      <c r="Q126" s="23">
        <f t="shared" si="110"/>
        <v>4360.46</v>
      </c>
      <c r="R126" s="21">
        <f>H126*M126</f>
        <v>0</v>
      </c>
      <c r="S126" s="21">
        <f>I126*M126</f>
        <v>0</v>
      </c>
      <c r="T126" s="21">
        <f>J126*M126</f>
        <v>0</v>
      </c>
      <c r="U126" s="21">
        <f>K126*M126</f>
        <v>0</v>
      </c>
      <c r="V126" s="21">
        <f>L126*M126</f>
        <v>0</v>
      </c>
      <c r="BQ126" s="1" t="s">
        <v>244</v>
      </c>
      <c r="BR126" s="1">
        <v>0.7</v>
      </c>
      <c r="BS126" s="1">
        <v>0.1</v>
      </c>
      <c r="BT126" s="1">
        <v>6.4</v>
      </c>
      <c r="BU126" s="1">
        <v>0.1</v>
      </c>
      <c r="BV126" s="1">
        <v>0.4</v>
      </c>
      <c r="BW126" s="1">
        <v>0.7</v>
      </c>
      <c r="BX126" s="1"/>
      <c r="BY126" s="1">
        <v>12.7</v>
      </c>
      <c r="BZ126" s="1">
        <v>2.5</v>
      </c>
      <c r="CA126" s="1">
        <v>15.8</v>
      </c>
      <c r="CB126" s="1">
        <v>12.8</v>
      </c>
      <c r="CC126" s="1">
        <v>21.2</v>
      </c>
      <c r="CD126" s="1">
        <v>40.200000000000003</v>
      </c>
      <c r="CE126" s="1">
        <v>76.8</v>
      </c>
      <c r="CF126" s="1">
        <v>154.30000000000001</v>
      </c>
      <c r="CG126" s="1">
        <v>59.4</v>
      </c>
      <c r="CH126" s="1">
        <v>282.5</v>
      </c>
      <c r="CI126" s="1">
        <v>341.4</v>
      </c>
      <c r="CJ126" s="1"/>
      <c r="CK126" s="1"/>
      <c r="CL126" s="1"/>
      <c r="CM126" s="1"/>
      <c r="CO126" s="31" t="s">
        <v>251</v>
      </c>
      <c r="CP126" s="4">
        <f>BW121/BW120*100</f>
        <v>93.54605887939222</v>
      </c>
    </row>
    <row r="127" spans="1:94" x14ac:dyDescent="0.2">
      <c r="A127" s="21" t="s">
        <v>137</v>
      </c>
      <c r="B127" s="21" t="s">
        <v>42</v>
      </c>
      <c r="C127" s="21" t="s">
        <v>9</v>
      </c>
      <c r="D127" s="21">
        <v>10</v>
      </c>
      <c r="E127" s="21"/>
      <c r="F127" s="21"/>
      <c r="G127" s="21"/>
      <c r="H127" s="21"/>
      <c r="I127" s="21"/>
      <c r="J127" s="21"/>
      <c r="K127" s="21"/>
      <c r="L127" s="21"/>
      <c r="M127" s="21">
        <v>220</v>
      </c>
      <c r="N127" s="24">
        <f>D127*M127</f>
        <v>2200</v>
      </c>
      <c r="O127" s="21">
        <f>E127*M127</f>
        <v>0</v>
      </c>
      <c r="P127" s="21">
        <f>F127*M127</f>
        <v>0</v>
      </c>
      <c r="Q127" s="23">
        <f t="shared" si="110"/>
        <v>0</v>
      </c>
      <c r="R127" s="21">
        <f>H127*M127</f>
        <v>0</v>
      </c>
      <c r="S127" s="21">
        <f>I127*M127</f>
        <v>0</v>
      </c>
      <c r="T127" s="21">
        <f>J127*M127</f>
        <v>0</v>
      </c>
      <c r="U127" s="21">
        <f>K127*M127</f>
        <v>0</v>
      </c>
      <c r="V127" s="21">
        <f>L127*M127</f>
        <v>0</v>
      </c>
      <c r="BQ127" s="1" t="s">
        <v>246</v>
      </c>
      <c r="BR127" s="1">
        <v>1.5</v>
      </c>
      <c r="BS127" s="1">
        <v>1.6</v>
      </c>
      <c r="BT127" s="1">
        <v>11.2</v>
      </c>
      <c r="BU127" s="1">
        <v>20.399999999999999</v>
      </c>
      <c r="BV127" s="1">
        <v>32.799999999999997</v>
      </c>
      <c r="BW127" s="1">
        <v>39.700000000000003</v>
      </c>
      <c r="BX127" s="1">
        <v>2.9</v>
      </c>
      <c r="BY127" s="1"/>
      <c r="BZ127" s="1">
        <v>0.6</v>
      </c>
      <c r="CA127" s="1">
        <v>6.5</v>
      </c>
      <c r="CB127" s="1">
        <v>17.2</v>
      </c>
      <c r="CC127" s="1">
        <v>23.5</v>
      </c>
      <c r="CD127" s="1">
        <v>19.2</v>
      </c>
      <c r="CE127" s="1">
        <v>19.399999999999999</v>
      </c>
      <c r="CF127" s="1">
        <v>18.899999999999999</v>
      </c>
      <c r="CG127" s="1">
        <v>30</v>
      </c>
      <c r="CH127" s="1">
        <v>30.9</v>
      </c>
      <c r="CI127" s="1">
        <v>49.8</v>
      </c>
      <c r="CJ127" s="1"/>
      <c r="CK127" s="1"/>
      <c r="CL127" s="1"/>
      <c r="CM127" s="1"/>
      <c r="CO127" s="1" t="s">
        <v>242</v>
      </c>
      <c r="CP127" s="4">
        <f>BW122/BW120*100</f>
        <v>0.5280151946818612</v>
      </c>
    </row>
    <row r="128" spans="1:94" x14ac:dyDescent="0.2">
      <c r="A128" s="21"/>
      <c r="B128" s="21" t="s">
        <v>19</v>
      </c>
      <c r="C128" s="21" t="s">
        <v>9</v>
      </c>
      <c r="D128" s="21">
        <v>2</v>
      </c>
      <c r="E128" s="21"/>
      <c r="F128" s="21"/>
      <c r="G128" s="21"/>
      <c r="H128" s="21"/>
      <c r="I128" s="21"/>
      <c r="J128" s="21"/>
      <c r="K128" s="21"/>
      <c r="L128" s="21"/>
      <c r="M128" s="21">
        <v>140</v>
      </c>
      <c r="N128" s="24">
        <f>D128*M128</f>
        <v>280</v>
      </c>
      <c r="O128" s="21">
        <f>E128*M128</f>
        <v>0</v>
      </c>
      <c r="P128" s="21">
        <f>F128*M128</f>
        <v>0</v>
      </c>
      <c r="Q128" s="23">
        <f t="shared" si="110"/>
        <v>0</v>
      </c>
      <c r="R128" s="21">
        <f>H128*M128</f>
        <v>0</v>
      </c>
      <c r="S128" s="21">
        <f>I128*M128</f>
        <v>0</v>
      </c>
      <c r="T128" s="21">
        <f>J128*M128</f>
        <v>0</v>
      </c>
      <c r="U128" s="21">
        <f>K128*M128</f>
        <v>0</v>
      </c>
      <c r="V128" s="21">
        <f>L128*M128</f>
        <v>0</v>
      </c>
      <c r="BQ128" s="1" t="s">
        <v>247</v>
      </c>
      <c r="BR128" s="1"/>
      <c r="BS128" s="1"/>
      <c r="BT128" s="1"/>
      <c r="BU128" s="1"/>
      <c r="BV128" s="1"/>
      <c r="BW128" s="1"/>
      <c r="BX128" s="1">
        <v>101.5</v>
      </c>
      <c r="BY128" s="1">
        <v>142.1</v>
      </c>
      <c r="BZ128" s="1">
        <v>193.5</v>
      </c>
      <c r="CA128" s="1">
        <v>135.1</v>
      </c>
      <c r="CB128" s="1">
        <v>40.6</v>
      </c>
      <c r="CC128" s="1">
        <v>156.69999999999999</v>
      </c>
      <c r="CD128" s="1">
        <v>226.8</v>
      </c>
      <c r="CE128" s="1">
        <v>166.7</v>
      </c>
      <c r="CF128" s="1">
        <v>180.9</v>
      </c>
      <c r="CG128" s="1">
        <v>198.8</v>
      </c>
      <c r="CH128" s="1">
        <v>215.4</v>
      </c>
      <c r="CI128" s="1">
        <v>200.1</v>
      </c>
      <c r="CJ128" s="1"/>
      <c r="CK128" s="1"/>
      <c r="CL128" s="1"/>
      <c r="CM128" s="1"/>
      <c r="CO128" s="1" t="s">
        <v>243</v>
      </c>
      <c r="CP128" s="4"/>
    </row>
    <row r="129" spans="1:94" x14ac:dyDescent="0.2">
      <c r="A129" s="25"/>
      <c r="B129" s="25" t="s">
        <v>95</v>
      </c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3">
        <f t="shared" si="110"/>
        <v>0</v>
      </c>
      <c r="R129" s="25"/>
      <c r="S129" s="25"/>
      <c r="T129" s="25"/>
      <c r="U129" s="25"/>
      <c r="V129" s="25"/>
      <c r="BQ129" s="1" t="s">
        <v>248</v>
      </c>
      <c r="BR129" s="1"/>
      <c r="BS129" s="1"/>
      <c r="BT129" s="1">
        <v>5.8</v>
      </c>
      <c r="BU129" s="1">
        <v>17</v>
      </c>
      <c r="BV129" s="1">
        <v>27</v>
      </c>
      <c r="BW129" s="1">
        <v>265.60000000000002</v>
      </c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O129" s="1" t="s">
        <v>244</v>
      </c>
      <c r="CP129" s="4">
        <f>BW124/BW120*100</f>
        <v>2.6590693257359917E-2</v>
      </c>
    </row>
    <row r="130" spans="1:94" x14ac:dyDescent="0.2">
      <c r="A130" s="21" t="s">
        <v>138</v>
      </c>
      <c r="B130" s="21" t="s">
        <v>48</v>
      </c>
      <c r="C130" s="21" t="s">
        <v>25</v>
      </c>
      <c r="D130" s="21">
        <v>9.6</v>
      </c>
      <c r="E130" s="21"/>
      <c r="F130" s="21"/>
      <c r="G130" s="21"/>
      <c r="H130" s="21"/>
      <c r="I130" s="21"/>
      <c r="J130" s="21"/>
      <c r="K130" s="21"/>
      <c r="L130" s="21"/>
      <c r="M130" s="21">
        <v>1</v>
      </c>
      <c r="N130" s="24">
        <f t="shared" ref="N130:N136" si="141">D130*M130</f>
        <v>9.6</v>
      </c>
      <c r="O130" s="21">
        <f t="shared" ref="O130:O136" si="142">E130*M130</f>
        <v>0</v>
      </c>
      <c r="P130" s="21">
        <f t="shared" ref="P130:P136" si="143">F130*M130</f>
        <v>0</v>
      </c>
      <c r="Q130" s="23">
        <f t="shared" si="110"/>
        <v>0</v>
      </c>
      <c r="R130" s="21">
        <f t="shared" ref="R130:R136" si="144">H130*M130</f>
        <v>0</v>
      </c>
      <c r="S130" s="21">
        <f t="shared" ref="S130:S136" si="145">I130*M130</f>
        <v>0</v>
      </c>
      <c r="T130" s="21">
        <f t="shared" ref="T130:T136" si="146">J130*M130</f>
        <v>0</v>
      </c>
      <c r="U130" s="21">
        <f t="shared" ref="U130:U136" si="147">K130*M130</f>
        <v>0</v>
      </c>
      <c r="V130" s="21">
        <f t="shared" ref="V130:V136" si="148">L130*M130</f>
        <v>0</v>
      </c>
      <c r="BQ130" s="1" t="s">
        <v>249</v>
      </c>
      <c r="BR130" s="1"/>
      <c r="BS130" s="1">
        <v>0.7</v>
      </c>
      <c r="BT130" s="1">
        <v>5.2</v>
      </c>
      <c r="BU130" s="1">
        <v>7</v>
      </c>
      <c r="BV130" s="1">
        <v>6.4</v>
      </c>
      <c r="BW130" s="1">
        <v>4.5999999999999996</v>
      </c>
      <c r="BX130" s="1">
        <v>1.0999999999999943</v>
      </c>
      <c r="BY130" s="1">
        <v>67.700000000000017</v>
      </c>
      <c r="BZ130" s="1">
        <v>1.6999999999999886</v>
      </c>
      <c r="CA130" s="1">
        <v>4.9000000000000057</v>
      </c>
      <c r="CB130" s="1">
        <v>4.1000000000000014</v>
      </c>
      <c r="CC130" s="1">
        <v>2.6000000000000014</v>
      </c>
      <c r="CD130" s="1">
        <v>10.199999999999999</v>
      </c>
      <c r="CE130" s="1">
        <v>28.2</v>
      </c>
      <c r="CF130" s="1">
        <v>20.399999999999999</v>
      </c>
      <c r="CG130" s="1">
        <v>22.7</v>
      </c>
      <c r="CH130" s="1">
        <v>21.6</v>
      </c>
      <c r="CI130" s="1">
        <v>21.5</v>
      </c>
      <c r="CJ130" s="1"/>
      <c r="CK130" s="1"/>
      <c r="CL130" s="1"/>
      <c r="CM130" s="1"/>
      <c r="CO130" s="1" t="s">
        <v>245</v>
      </c>
      <c r="CP130" s="4"/>
    </row>
    <row r="131" spans="1:94" x14ac:dyDescent="0.2">
      <c r="A131" s="21" t="s">
        <v>143</v>
      </c>
      <c r="B131" s="21" t="s">
        <v>62</v>
      </c>
      <c r="C131" s="21" t="s">
        <v>3</v>
      </c>
      <c r="D131" s="21"/>
      <c r="E131" s="21"/>
      <c r="F131" s="21">
        <v>4320</v>
      </c>
      <c r="G131" s="21">
        <v>2400</v>
      </c>
      <c r="H131" s="21">
        <v>2000</v>
      </c>
      <c r="I131" s="21">
        <v>2000</v>
      </c>
      <c r="J131" s="21"/>
      <c r="K131" s="21">
        <v>3964</v>
      </c>
      <c r="L131" s="21">
        <v>480</v>
      </c>
      <c r="M131" s="21">
        <v>1</v>
      </c>
      <c r="N131" s="24">
        <f t="shared" si="141"/>
        <v>0</v>
      </c>
      <c r="O131" s="21">
        <f t="shared" si="142"/>
        <v>0</v>
      </c>
      <c r="P131" s="21">
        <f t="shared" si="143"/>
        <v>4320</v>
      </c>
      <c r="Q131" s="23">
        <f t="shared" si="110"/>
        <v>2400</v>
      </c>
      <c r="R131" s="21">
        <f t="shared" si="144"/>
        <v>2000</v>
      </c>
      <c r="S131" s="21">
        <f t="shared" si="145"/>
        <v>2000</v>
      </c>
      <c r="T131" s="21">
        <f t="shared" si="146"/>
        <v>0</v>
      </c>
      <c r="U131" s="21">
        <f t="shared" si="147"/>
        <v>3964</v>
      </c>
      <c r="V131" s="21">
        <f t="shared" si="148"/>
        <v>480</v>
      </c>
      <c r="CI131" s="19">
        <f>SUM(CI121:CI130)</f>
        <v>4348.9000000000005</v>
      </c>
      <c r="CJ131" s="19"/>
      <c r="CK131" s="19"/>
      <c r="CL131" s="19"/>
      <c r="CM131" s="19"/>
      <c r="CO131" s="1" t="s">
        <v>244</v>
      </c>
      <c r="CP131" s="4">
        <f>BW126/BW120*100</f>
        <v>1.3295346628679958E-2</v>
      </c>
    </row>
    <row r="132" spans="1:94" x14ac:dyDescent="0.2">
      <c r="A132" s="21" t="s">
        <v>144</v>
      </c>
      <c r="B132" s="21" t="s">
        <v>21</v>
      </c>
      <c r="C132" s="21" t="s">
        <v>20</v>
      </c>
      <c r="D132" s="21"/>
      <c r="E132" s="21"/>
      <c r="F132" s="21">
        <v>2.9</v>
      </c>
      <c r="G132" s="21">
        <v>3</v>
      </c>
      <c r="H132" s="21"/>
      <c r="I132" s="21"/>
      <c r="J132" s="21"/>
      <c r="K132" s="21"/>
      <c r="L132" s="21"/>
      <c r="M132" s="21">
        <v>6891.6</v>
      </c>
      <c r="N132" s="24">
        <f t="shared" si="141"/>
        <v>0</v>
      </c>
      <c r="O132" s="21">
        <f t="shared" si="142"/>
        <v>0</v>
      </c>
      <c r="P132" s="21">
        <f t="shared" si="143"/>
        <v>19985.64</v>
      </c>
      <c r="Q132" s="23">
        <f t="shared" si="110"/>
        <v>20674.800000000003</v>
      </c>
      <c r="R132" s="21">
        <f t="shared" si="144"/>
        <v>0</v>
      </c>
      <c r="S132" s="21">
        <f t="shared" si="145"/>
        <v>0</v>
      </c>
      <c r="T132" s="21">
        <f t="shared" si="146"/>
        <v>0</v>
      </c>
      <c r="U132" s="21">
        <f t="shared" si="147"/>
        <v>0</v>
      </c>
      <c r="V132" s="21">
        <f t="shared" si="148"/>
        <v>0</v>
      </c>
      <c r="CO132" s="1" t="s">
        <v>246</v>
      </c>
      <c r="CP132" s="4">
        <f>BW127/BW120*100</f>
        <v>0.75403608736942063</v>
      </c>
    </row>
    <row r="133" spans="1:94" x14ac:dyDescent="0.2">
      <c r="A133" s="21" t="s">
        <v>145</v>
      </c>
      <c r="B133" s="21" t="s">
        <v>146</v>
      </c>
      <c r="C133" s="21" t="s">
        <v>9</v>
      </c>
      <c r="D133" s="21"/>
      <c r="E133" s="21"/>
      <c r="F133" s="21"/>
      <c r="G133" s="21">
        <v>0.8</v>
      </c>
      <c r="H133" s="21"/>
      <c r="I133" s="21"/>
      <c r="J133" s="21"/>
      <c r="K133" s="21"/>
      <c r="L133" s="21"/>
      <c r="M133" s="21">
        <v>1000</v>
      </c>
      <c r="N133" s="24">
        <f t="shared" si="141"/>
        <v>0</v>
      </c>
      <c r="O133" s="21">
        <f t="shared" si="142"/>
        <v>0</v>
      </c>
      <c r="P133" s="21">
        <f t="shared" si="143"/>
        <v>0</v>
      </c>
      <c r="Q133" s="23">
        <f t="shared" si="110"/>
        <v>800</v>
      </c>
      <c r="R133" s="21">
        <f t="shared" si="144"/>
        <v>0</v>
      </c>
      <c r="S133" s="21">
        <f t="shared" si="145"/>
        <v>0</v>
      </c>
      <c r="T133" s="21">
        <f t="shared" si="146"/>
        <v>0</v>
      </c>
      <c r="U133" s="21">
        <f t="shared" si="147"/>
        <v>0</v>
      </c>
      <c r="V133" s="21">
        <f t="shared" si="148"/>
        <v>0</v>
      </c>
      <c r="CO133" s="1" t="s">
        <v>247</v>
      </c>
      <c r="CP133" s="4">
        <f>BW128/BW120*100</f>
        <v>0</v>
      </c>
    </row>
    <row r="134" spans="1:94" x14ac:dyDescent="0.2">
      <c r="A134" s="21" t="s">
        <v>147</v>
      </c>
      <c r="B134" s="21" t="s">
        <v>148</v>
      </c>
      <c r="C134" s="21" t="s">
        <v>54</v>
      </c>
      <c r="D134" s="21"/>
      <c r="E134" s="21"/>
      <c r="F134" s="21"/>
      <c r="G134" s="21">
        <v>0.8</v>
      </c>
      <c r="H134" s="21">
        <v>0.6</v>
      </c>
      <c r="I134" s="21">
        <v>0.5</v>
      </c>
      <c r="J134" s="21">
        <v>0.3</v>
      </c>
      <c r="K134" s="21"/>
      <c r="L134" s="21"/>
      <c r="M134" s="21">
        <v>5500</v>
      </c>
      <c r="N134" s="24">
        <f t="shared" si="141"/>
        <v>0</v>
      </c>
      <c r="O134" s="21">
        <f t="shared" si="142"/>
        <v>0</v>
      </c>
      <c r="P134" s="21">
        <f t="shared" si="143"/>
        <v>0</v>
      </c>
      <c r="Q134" s="23">
        <f t="shared" si="110"/>
        <v>4400</v>
      </c>
      <c r="R134" s="21">
        <f t="shared" si="144"/>
        <v>3300</v>
      </c>
      <c r="S134" s="21">
        <f t="shared" si="145"/>
        <v>2750</v>
      </c>
      <c r="T134" s="21">
        <f t="shared" si="146"/>
        <v>1650</v>
      </c>
      <c r="U134" s="21">
        <f t="shared" si="147"/>
        <v>0</v>
      </c>
      <c r="V134" s="21">
        <f t="shared" si="148"/>
        <v>0</v>
      </c>
      <c r="CO134" s="1" t="s">
        <v>248</v>
      </c>
      <c r="CP134" s="4">
        <f>BW129/BW120*100</f>
        <v>5.0446343779677107</v>
      </c>
    </row>
    <row r="135" spans="1:94" x14ac:dyDescent="0.2">
      <c r="A135" s="21" t="s">
        <v>149</v>
      </c>
      <c r="B135" s="21" t="s">
        <v>26</v>
      </c>
      <c r="C135" s="21" t="s">
        <v>15</v>
      </c>
      <c r="D135" s="21"/>
      <c r="E135" s="21"/>
      <c r="F135" s="21"/>
      <c r="G135" s="21">
        <v>18.899999999999999</v>
      </c>
      <c r="H135" s="21">
        <v>19.399999999999999</v>
      </c>
      <c r="I135" s="21">
        <v>15.4</v>
      </c>
      <c r="J135" s="21">
        <v>16.2</v>
      </c>
      <c r="K135" s="21">
        <v>15</v>
      </c>
      <c r="L135" s="21"/>
      <c r="M135" s="21">
        <v>195</v>
      </c>
      <c r="N135" s="24">
        <f t="shared" si="141"/>
        <v>0</v>
      </c>
      <c r="O135" s="21">
        <f t="shared" si="142"/>
        <v>0</v>
      </c>
      <c r="P135" s="21">
        <f t="shared" si="143"/>
        <v>0</v>
      </c>
      <c r="Q135" s="23">
        <f t="shared" si="110"/>
        <v>3685.4999999999995</v>
      </c>
      <c r="R135" s="21">
        <f t="shared" si="144"/>
        <v>3782.9999999999995</v>
      </c>
      <c r="S135" s="21">
        <f t="shared" si="145"/>
        <v>3003</v>
      </c>
      <c r="T135" s="21">
        <f t="shared" si="146"/>
        <v>3159</v>
      </c>
      <c r="U135" s="21">
        <f t="shared" si="147"/>
        <v>2925</v>
      </c>
      <c r="V135" s="21">
        <f t="shared" si="148"/>
        <v>0</v>
      </c>
      <c r="CO135" s="1" t="s">
        <v>249</v>
      </c>
      <c r="CP135" s="4">
        <f>BW130/BW120*100</f>
        <v>8.7369420702754011E-2</v>
      </c>
    </row>
    <row r="136" spans="1:94" x14ac:dyDescent="0.2">
      <c r="A136" s="21"/>
      <c r="B136" s="21" t="s">
        <v>150</v>
      </c>
      <c r="C136" s="21" t="s">
        <v>8</v>
      </c>
      <c r="D136" s="21"/>
      <c r="E136" s="21"/>
      <c r="F136" s="21"/>
      <c r="G136" s="21">
        <v>42</v>
      </c>
      <c r="H136" s="21">
        <v>17.3</v>
      </c>
      <c r="I136" s="21">
        <v>3.2</v>
      </c>
      <c r="J136" s="21">
        <v>33.1</v>
      </c>
      <c r="K136" s="21">
        <v>20</v>
      </c>
      <c r="L136" s="21"/>
      <c r="M136" s="21">
        <v>80.599999999999994</v>
      </c>
      <c r="N136" s="24">
        <f t="shared" si="141"/>
        <v>0</v>
      </c>
      <c r="O136" s="21">
        <f t="shared" si="142"/>
        <v>0</v>
      </c>
      <c r="P136" s="21">
        <f t="shared" si="143"/>
        <v>0</v>
      </c>
      <c r="Q136" s="23">
        <f t="shared" si="110"/>
        <v>3385.2</v>
      </c>
      <c r="R136" s="21">
        <f t="shared" si="144"/>
        <v>1394.3799999999999</v>
      </c>
      <c r="S136" s="21">
        <f t="shared" si="145"/>
        <v>257.92</v>
      </c>
      <c r="T136" s="21">
        <f t="shared" si="146"/>
        <v>2667.86</v>
      </c>
      <c r="U136" s="21">
        <f t="shared" si="147"/>
        <v>1612</v>
      </c>
      <c r="V136" s="21">
        <f t="shared" si="148"/>
        <v>0</v>
      </c>
      <c r="CP136" s="4">
        <f>SUM(CP126:CP135)</f>
        <v>100</v>
      </c>
    </row>
    <row r="137" spans="1:94" x14ac:dyDescent="0.2">
      <c r="A137" s="25"/>
      <c r="B137" s="25" t="s">
        <v>95</v>
      </c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3">
        <f t="shared" si="110"/>
        <v>0</v>
      </c>
      <c r="R137" s="25"/>
      <c r="S137" s="25"/>
      <c r="T137" s="25"/>
      <c r="U137" s="25"/>
      <c r="V137" s="25"/>
    </row>
    <row r="138" spans="1:94" x14ac:dyDescent="0.2">
      <c r="A138" s="21" t="s">
        <v>151</v>
      </c>
      <c r="B138" s="21" t="s">
        <v>39</v>
      </c>
      <c r="C138" s="21" t="s">
        <v>7</v>
      </c>
      <c r="D138" s="21"/>
      <c r="E138" s="21"/>
      <c r="F138" s="21"/>
      <c r="G138" s="21">
        <v>32</v>
      </c>
      <c r="H138" s="21">
        <v>27</v>
      </c>
      <c r="I138" s="21">
        <v>38</v>
      </c>
      <c r="J138" s="21">
        <v>48</v>
      </c>
      <c r="K138" s="21">
        <v>125</v>
      </c>
      <c r="L138" s="21">
        <v>90</v>
      </c>
      <c r="M138" s="21">
        <v>10</v>
      </c>
      <c r="N138" s="24">
        <f t="shared" ref="N138:N144" si="149">D138*M138</f>
        <v>0</v>
      </c>
      <c r="O138" s="21">
        <f t="shared" ref="O138:O144" si="150">E138*M138</f>
        <v>0</v>
      </c>
      <c r="P138" s="21">
        <f t="shared" ref="P138:P144" si="151">F138*M138</f>
        <v>0</v>
      </c>
      <c r="Q138" s="23">
        <f t="shared" si="110"/>
        <v>320</v>
      </c>
      <c r="R138" s="21">
        <f t="shared" ref="R138:R144" si="152">H138*M138</f>
        <v>270</v>
      </c>
      <c r="S138" s="21">
        <f t="shared" ref="S138:S144" si="153">I138*M138</f>
        <v>380</v>
      </c>
      <c r="T138" s="21">
        <f t="shared" ref="T138:T144" si="154">J138*M138</f>
        <v>480</v>
      </c>
      <c r="U138" s="21">
        <f t="shared" ref="U138:U144" si="155">K138*M138</f>
        <v>1250</v>
      </c>
      <c r="V138" s="21">
        <f t="shared" ref="V138:V144" si="156">L138*M138</f>
        <v>900</v>
      </c>
      <c r="BR138">
        <v>1940</v>
      </c>
      <c r="CP138">
        <v>2005</v>
      </c>
    </row>
    <row r="139" spans="1:94" x14ac:dyDescent="0.2">
      <c r="A139" s="21"/>
      <c r="B139" s="21" t="s">
        <v>152</v>
      </c>
      <c r="C139" s="21" t="s">
        <v>7</v>
      </c>
      <c r="D139" s="21"/>
      <c r="E139" s="21"/>
      <c r="F139" s="21"/>
      <c r="G139" s="21">
        <v>42</v>
      </c>
      <c r="H139" s="21">
        <v>30</v>
      </c>
      <c r="I139" s="21">
        <v>34</v>
      </c>
      <c r="J139" s="21">
        <v>40</v>
      </c>
      <c r="K139" s="21">
        <v>65</v>
      </c>
      <c r="L139" s="21">
        <v>35</v>
      </c>
      <c r="M139" s="21">
        <v>17.7</v>
      </c>
      <c r="N139" s="24">
        <f t="shared" si="149"/>
        <v>0</v>
      </c>
      <c r="O139" s="21">
        <f t="shared" si="150"/>
        <v>0</v>
      </c>
      <c r="P139" s="21">
        <f t="shared" si="151"/>
        <v>0</v>
      </c>
      <c r="Q139" s="23">
        <f t="shared" si="110"/>
        <v>743.4</v>
      </c>
      <c r="R139" s="21">
        <f t="shared" si="152"/>
        <v>531</v>
      </c>
      <c r="S139" s="21">
        <f t="shared" si="153"/>
        <v>601.79999999999995</v>
      </c>
      <c r="T139" s="21">
        <f t="shared" si="154"/>
        <v>708</v>
      </c>
      <c r="U139" s="21">
        <f t="shared" si="155"/>
        <v>1150.5</v>
      </c>
      <c r="V139" s="21">
        <f t="shared" si="156"/>
        <v>619.5</v>
      </c>
      <c r="BQ139" s="31" t="s">
        <v>251</v>
      </c>
      <c r="BR139">
        <f>BR121/BR120*100</f>
        <v>96.181384248210023</v>
      </c>
      <c r="CO139" s="31" t="s">
        <v>251</v>
      </c>
      <c r="CP139" s="4">
        <f>CC121/CC120*100</f>
        <v>74.933418557579628</v>
      </c>
    </row>
    <row r="140" spans="1:94" x14ac:dyDescent="0.2">
      <c r="A140" s="21"/>
      <c r="B140" s="21" t="s">
        <v>153</v>
      </c>
      <c r="C140" s="21" t="s">
        <v>7</v>
      </c>
      <c r="D140" s="21"/>
      <c r="E140" s="21"/>
      <c r="F140" s="21"/>
      <c r="G140" s="21">
        <v>9</v>
      </c>
      <c r="H140" s="21">
        <v>4</v>
      </c>
      <c r="I140" s="21">
        <v>7</v>
      </c>
      <c r="J140" s="21">
        <v>17</v>
      </c>
      <c r="K140" s="21">
        <v>2</v>
      </c>
      <c r="L140" s="21"/>
      <c r="M140" s="21">
        <v>24</v>
      </c>
      <c r="N140" s="24">
        <f t="shared" si="149"/>
        <v>0</v>
      </c>
      <c r="O140" s="21">
        <f t="shared" si="150"/>
        <v>0</v>
      </c>
      <c r="P140" s="21">
        <f t="shared" si="151"/>
        <v>0</v>
      </c>
      <c r="Q140" s="23">
        <f t="shared" si="110"/>
        <v>216</v>
      </c>
      <c r="R140" s="21">
        <f t="shared" si="152"/>
        <v>96</v>
      </c>
      <c r="S140" s="21">
        <f t="shared" si="153"/>
        <v>168</v>
      </c>
      <c r="T140" s="21">
        <f t="shared" si="154"/>
        <v>408</v>
      </c>
      <c r="U140" s="21">
        <f t="shared" si="155"/>
        <v>48</v>
      </c>
      <c r="V140" s="21">
        <f t="shared" si="156"/>
        <v>0</v>
      </c>
      <c r="BQ140" s="1" t="s">
        <v>242</v>
      </c>
      <c r="BR140" s="4">
        <f t="shared" ref="BR140" si="157">BR122/BR121*100</f>
        <v>0.9925558312655085</v>
      </c>
      <c r="CO140" s="1" t="s">
        <v>242</v>
      </c>
      <c r="CP140" s="4">
        <f>CC122/CC120*100</f>
        <v>0.60722275487376176</v>
      </c>
    </row>
    <row r="141" spans="1:94" x14ac:dyDescent="0.2">
      <c r="A141" s="21"/>
      <c r="B141" s="21" t="s">
        <v>154</v>
      </c>
      <c r="C141" s="21" t="s">
        <v>7</v>
      </c>
      <c r="D141" s="21"/>
      <c r="E141" s="21"/>
      <c r="F141" s="21"/>
      <c r="G141" s="21">
        <v>22</v>
      </c>
      <c r="H141" s="21">
        <v>14</v>
      </c>
      <c r="I141" s="21">
        <v>1</v>
      </c>
      <c r="J141" s="21"/>
      <c r="K141" s="21"/>
      <c r="L141" s="21"/>
      <c r="M141" s="21">
        <v>30</v>
      </c>
      <c r="N141" s="24">
        <f t="shared" si="149"/>
        <v>0</v>
      </c>
      <c r="O141" s="21">
        <f t="shared" si="150"/>
        <v>0</v>
      </c>
      <c r="P141" s="21">
        <f t="shared" si="151"/>
        <v>0</v>
      </c>
      <c r="Q141" s="23">
        <f t="shared" si="110"/>
        <v>660</v>
      </c>
      <c r="R141" s="21">
        <f t="shared" si="152"/>
        <v>420</v>
      </c>
      <c r="S141" s="21">
        <f t="shared" si="153"/>
        <v>30</v>
      </c>
      <c r="T141" s="21">
        <f t="shared" si="154"/>
        <v>0</v>
      </c>
      <c r="U141" s="21">
        <f t="shared" si="155"/>
        <v>0</v>
      </c>
      <c r="V141" s="21">
        <f t="shared" si="156"/>
        <v>0</v>
      </c>
      <c r="BQ141" s="1" t="s">
        <v>252</v>
      </c>
      <c r="BR141" s="39">
        <v>0.2</v>
      </c>
      <c r="CO141" s="1" t="s">
        <v>243</v>
      </c>
      <c r="CP141" s="4"/>
    </row>
    <row r="142" spans="1:94" x14ac:dyDescent="0.2">
      <c r="A142" s="21"/>
      <c r="B142" s="21" t="s">
        <v>155</v>
      </c>
      <c r="C142" s="21" t="s">
        <v>7</v>
      </c>
      <c r="D142" s="21"/>
      <c r="E142" s="21"/>
      <c r="F142" s="21"/>
      <c r="G142" s="21"/>
      <c r="H142" s="21"/>
      <c r="I142" s="21">
        <v>2</v>
      </c>
      <c r="J142" s="21"/>
      <c r="K142" s="21"/>
      <c r="L142" s="21"/>
      <c r="M142" s="21"/>
      <c r="N142" s="24">
        <f t="shared" si="149"/>
        <v>0</v>
      </c>
      <c r="O142" s="21">
        <f t="shared" si="150"/>
        <v>0</v>
      </c>
      <c r="P142" s="21">
        <f t="shared" si="151"/>
        <v>0</v>
      </c>
      <c r="Q142" s="23">
        <f t="shared" si="110"/>
        <v>0</v>
      </c>
      <c r="R142" s="21">
        <f t="shared" si="152"/>
        <v>0</v>
      </c>
      <c r="S142" s="21">
        <f t="shared" si="153"/>
        <v>0</v>
      </c>
      <c r="T142" s="21">
        <f t="shared" si="154"/>
        <v>0</v>
      </c>
      <c r="U142" s="21">
        <f t="shared" si="155"/>
        <v>0</v>
      </c>
      <c r="V142" s="21">
        <f t="shared" si="156"/>
        <v>0</v>
      </c>
      <c r="BQ142" s="1" t="s">
        <v>253</v>
      </c>
      <c r="BR142" s="39">
        <v>0.8</v>
      </c>
      <c r="CO142" s="1" t="s">
        <v>244</v>
      </c>
      <c r="CP142" s="4">
        <f>CC124/CC120*100</f>
        <v>2.7271758815382978</v>
      </c>
    </row>
    <row r="143" spans="1:94" x14ac:dyDescent="0.2">
      <c r="A143" s="21"/>
      <c r="B143" s="21" t="s">
        <v>156</v>
      </c>
      <c r="C143" s="21" t="s">
        <v>7</v>
      </c>
      <c r="D143" s="21"/>
      <c r="E143" s="21"/>
      <c r="F143" s="21"/>
      <c r="G143" s="21">
        <v>10</v>
      </c>
      <c r="H143" s="21">
        <v>10</v>
      </c>
      <c r="I143" s="21">
        <v>4</v>
      </c>
      <c r="J143" s="21">
        <v>12</v>
      </c>
      <c r="K143" s="21">
        <v>9</v>
      </c>
      <c r="L143" s="21">
        <v>4</v>
      </c>
      <c r="M143" s="21">
        <v>25</v>
      </c>
      <c r="N143" s="24">
        <f t="shared" si="149"/>
        <v>0</v>
      </c>
      <c r="O143" s="21">
        <f t="shared" si="150"/>
        <v>0</v>
      </c>
      <c r="P143" s="21">
        <f t="shared" si="151"/>
        <v>0</v>
      </c>
      <c r="Q143" s="23">
        <f t="shared" ref="Q143:Q206" si="158">G143*M143</f>
        <v>250</v>
      </c>
      <c r="R143" s="21">
        <f t="shared" si="152"/>
        <v>250</v>
      </c>
      <c r="S143" s="21">
        <f t="shared" si="153"/>
        <v>100</v>
      </c>
      <c r="T143" s="21">
        <f t="shared" si="154"/>
        <v>300</v>
      </c>
      <c r="U143" s="21">
        <f t="shared" si="155"/>
        <v>225</v>
      </c>
      <c r="V143" s="21">
        <f t="shared" si="156"/>
        <v>100</v>
      </c>
      <c r="BQ143" s="1" t="s">
        <v>246</v>
      </c>
      <c r="BR143" s="4">
        <v>1.8</v>
      </c>
      <c r="CO143" s="1" t="s">
        <v>245</v>
      </c>
      <c r="CP143" s="4"/>
    </row>
    <row r="144" spans="1:94" x14ac:dyDescent="0.2">
      <c r="A144" s="21"/>
      <c r="B144" s="21" t="s">
        <v>129</v>
      </c>
      <c r="C144" s="21" t="s">
        <v>3</v>
      </c>
      <c r="D144" s="21"/>
      <c r="E144" s="21"/>
      <c r="F144" s="21"/>
      <c r="G144" s="21">
        <v>144</v>
      </c>
      <c r="H144" s="21">
        <v>166.5</v>
      </c>
      <c r="I144" s="21">
        <v>958</v>
      </c>
      <c r="J144" s="21">
        <v>1231</v>
      </c>
      <c r="K144" s="21">
        <v>772</v>
      </c>
      <c r="L144" s="21">
        <v>1367</v>
      </c>
      <c r="M144" s="21">
        <v>1</v>
      </c>
      <c r="N144" s="24">
        <f t="shared" si="149"/>
        <v>0</v>
      </c>
      <c r="O144" s="21">
        <f t="shared" si="150"/>
        <v>0</v>
      </c>
      <c r="P144" s="21">
        <f t="shared" si="151"/>
        <v>0</v>
      </c>
      <c r="Q144" s="23">
        <f t="shared" si="158"/>
        <v>144</v>
      </c>
      <c r="R144" s="21">
        <f t="shared" si="152"/>
        <v>166.5</v>
      </c>
      <c r="S144" s="21">
        <f t="shared" si="153"/>
        <v>958</v>
      </c>
      <c r="T144" s="21">
        <f t="shared" si="154"/>
        <v>1231</v>
      </c>
      <c r="U144" s="21">
        <f t="shared" si="155"/>
        <v>772</v>
      </c>
      <c r="V144" s="21">
        <f t="shared" si="156"/>
        <v>1367</v>
      </c>
      <c r="BQ144" s="1" t="s">
        <v>247</v>
      </c>
      <c r="BR144">
        <v>0</v>
      </c>
      <c r="CO144" s="1" t="s">
        <v>244</v>
      </c>
      <c r="CP144" s="4">
        <f>CC126/CC120*100</f>
        <v>2.2584425268989028</v>
      </c>
    </row>
    <row r="145" spans="1:94" x14ac:dyDescent="0.2">
      <c r="A145" s="25"/>
      <c r="B145" s="25" t="s">
        <v>157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3">
        <f t="shared" si="158"/>
        <v>0</v>
      </c>
      <c r="R145" s="25"/>
      <c r="S145" s="25"/>
      <c r="T145" s="25"/>
      <c r="U145" s="25"/>
      <c r="V145" s="25"/>
      <c r="BQ145" s="1"/>
      <c r="BR145" s="4"/>
      <c r="CO145" s="1" t="s">
        <v>246</v>
      </c>
      <c r="CP145" s="4">
        <f>CC127/CC120*100</f>
        <v>2.5034622350058591</v>
      </c>
    </row>
    <row r="146" spans="1:94" x14ac:dyDescent="0.2">
      <c r="A146" s="21" t="s">
        <v>158</v>
      </c>
      <c r="B146" s="21" t="s">
        <v>159</v>
      </c>
      <c r="C146" s="21"/>
      <c r="D146" s="21"/>
      <c r="E146" s="21"/>
      <c r="F146" s="21"/>
      <c r="G146" s="21">
        <v>2.2000000000000002</v>
      </c>
      <c r="H146" s="21">
        <v>3.5</v>
      </c>
      <c r="I146" s="21">
        <v>5.5</v>
      </c>
      <c r="J146" s="21">
        <v>2</v>
      </c>
      <c r="K146" s="21">
        <v>1.9</v>
      </c>
      <c r="L146" s="21">
        <v>1.2</v>
      </c>
      <c r="M146" s="21">
        <v>973.3</v>
      </c>
      <c r="N146" s="24">
        <f>D146*M146</f>
        <v>0</v>
      </c>
      <c r="O146" s="21">
        <f>E146*M146</f>
        <v>0</v>
      </c>
      <c r="P146" s="21">
        <f>F146*M146</f>
        <v>0</v>
      </c>
      <c r="Q146" s="23">
        <f t="shared" si="158"/>
        <v>2141.2600000000002</v>
      </c>
      <c r="R146" s="21">
        <f>H146*M146</f>
        <v>3406.5499999999997</v>
      </c>
      <c r="S146" s="21">
        <f>I146*M146</f>
        <v>5353.15</v>
      </c>
      <c r="T146" s="21">
        <f>J146*M146</f>
        <v>1946.6</v>
      </c>
      <c r="U146" s="21">
        <f>K146*M146</f>
        <v>1849.2699999999998</v>
      </c>
      <c r="V146" s="21">
        <f>L146*M146</f>
        <v>1167.9599999999998</v>
      </c>
      <c r="BQ146" s="1"/>
      <c r="CO146" s="1" t="s">
        <v>247</v>
      </c>
      <c r="CP146" s="4">
        <f>CC128/CC120*100</f>
        <v>16.693299243634815</v>
      </c>
    </row>
    <row r="147" spans="1:94" x14ac:dyDescent="0.2">
      <c r="A147" s="21"/>
      <c r="B147" s="21" t="s">
        <v>160</v>
      </c>
      <c r="C147" s="21"/>
      <c r="D147" s="21"/>
      <c r="E147" s="21"/>
      <c r="F147" s="21"/>
      <c r="G147" s="21">
        <v>1.3</v>
      </c>
      <c r="H147" s="21">
        <v>2.4</v>
      </c>
      <c r="I147" s="21">
        <v>0.4</v>
      </c>
      <c r="J147" s="21">
        <v>0.6</v>
      </c>
      <c r="K147" s="21">
        <v>1.3</v>
      </c>
      <c r="L147" s="21">
        <v>0.9</v>
      </c>
      <c r="M147" s="21">
        <v>900</v>
      </c>
      <c r="N147" s="24">
        <f>D147*M147</f>
        <v>0</v>
      </c>
      <c r="O147" s="21">
        <f>E147*M147</f>
        <v>0</v>
      </c>
      <c r="P147" s="21">
        <f>F147*M147</f>
        <v>0</v>
      </c>
      <c r="Q147" s="23">
        <f t="shared" si="158"/>
        <v>1170</v>
      </c>
      <c r="R147" s="21">
        <f>H147*M147</f>
        <v>2160</v>
      </c>
      <c r="S147" s="21">
        <f>I147*M147</f>
        <v>360</v>
      </c>
      <c r="T147" s="21">
        <f>J147*M147</f>
        <v>540</v>
      </c>
      <c r="U147" s="21">
        <f>K147*M147</f>
        <v>1170</v>
      </c>
      <c r="V147" s="21">
        <f>L147*M147</f>
        <v>810</v>
      </c>
      <c r="BQ147" s="1"/>
      <c r="CO147" s="1" t="s">
        <v>248</v>
      </c>
      <c r="CP147" s="4"/>
    </row>
    <row r="148" spans="1:94" x14ac:dyDescent="0.2">
      <c r="A148" s="21"/>
      <c r="B148" s="21" t="s">
        <v>161</v>
      </c>
      <c r="C148" s="21"/>
      <c r="D148" s="21"/>
      <c r="E148" s="21"/>
      <c r="F148" s="21"/>
      <c r="G148" s="21">
        <v>0.4</v>
      </c>
      <c r="H148" s="21">
        <v>2.1</v>
      </c>
      <c r="I148" s="21">
        <v>2.1</v>
      </c>
      <c r="J148" s="21">
        <v>1</v>
      </c>
      <c r="K148" s="21">
        <v>0.5</v>
      </c>
      <c r="L148" s="21">
        <v>1.1000000000000001</v>
      </c>
      <c r="M148" s="21">
        <v>5500</v>
      </c>
      <c r="N148" s="24">
        <f>D148*M148</f>
        <v>0</v>
      </c>
      <c r="O148" s="21">
        <f>E148*M148</f>
        <v>0</v>
      </c>
      <c r="P148" s="21">
        <f>F148*M148</f>
        <v>0</v>
      </c>
      <c r="Q148" s="23">
        <f t="shared" si="158"/>
        <v>2200</v>
      </c>
      <c r="R148" s="21">
        <f>H148*M148</f>
        <v>11550</v>
      </c>
      <c r="S148" s="21">
        <f>I148*M148</f>
        <v>11550</v>
      </c>
      <c r="T148" s="21">
        <f>J148*M148</f>
        <v>5500</v>
      </c>
      <c r="U148" s="21">
        <f>K148*M148</f>
        <v>2750</v>
      </c>
      <c r="V148" s="21">
        <f>L148*M148</f>
        <v>6050.0000000000009</v>
      </c>
      <c r="BQ148" s="1"/>
      <c r="CO148" s="1" t="s">
        <v>249</v>
      </c>
      <c r="CP148" s="4">
        <f>CC130/CC120*100</f>
        <v>0.27697880046873352</v>
      </c>
    </row>
    <row r="149" spans="1:94" x14ac:dyDescent="0.2">
      <c r="A149" s="21"/>
      <c r="B149" s="21" t="s">
        <v>148</v>
      </c>
      <c r="C149" s="21"/>
      <c r="D149" s="21"/>
      <c r="E149" s="21"/>
      <c r="F149" s="21"/>
      <c r="G149" s="21"/>
      <c r="H149" s="21"/>
      <c r="I149" s="21"/>
      <c r="J149" s="21">
        <v>0.4</v>
      </c>
      <c r="K149" s="21">
        <v>2.2999999999999998</v>
      </c>
      <c r="L149" s="21">
        <v>0.7</v>
      </c>
      <c r="M149" s="21">
        <v>5500</v>
      </c>
      <c r="N149" s="24">
        <f>D149*M149</f>
        <v>0</v>
      </c>
      <c r="O149" s="21">
        <f>E149*M149</f>
        <v>0</v>
      </c>
      <c r="P149" s="21">
        <f>F149*M149</f>
        <v>0</v>
      </c>
      <c r="Q149" s="23">
        <f t="shared" si="158"/>
        <v>0</v>
      </c>
      <c r="R149" s="21">
        <f>H149*M149</f>
        <v>0</v>
      </c>
      <c r="S149" s="21">
        <f>I149*M149</f>
        <v>0</v>
      </c>
      <c r="T149" s="21">
        <f>J149*M149</f>
        <v>2200</v>
      </c>
      <c r="U149" s="21">
        <f>K149*M149</f>
        <v>12649.999999999998</v>
      </c>
      <c r="V149" s="21">
        <f>L149*M149</f>
        <v>3849.9999999999995</v>
      </c>
      <c r="BR149">
        <f>SUM(BR139:BR147)</f>
        <v>99.973940079475526</v>
      </c>
      <c r="CP149" s="4">
        <f>SUM(CP139:CP148)</f>
        <v>100</v>
      </c>
    </row>
    <row r="150" spans="1:94" x14ac:dyDescent="0.2">
      <c r="A150" s="21"/>
      <c r="B150" s="21" t="s">
        <v>4</v>
      </c>
      <c r="C150" s="21"/>
      <c r="D150" s="21"/>
      <c r="E150" s="21"/>
      <c r="F150" s="21"/>
      <c r="G150" s="21">
        <v>50</v>
      </c>
      <c r="H150" s="21">
        <v>260</v>
      </c>
      <c r="I150" s="21">
        <v>470</v>
      </c>
      <c r="J150" s="21">
        <v>235</v>
      </c>
      <c r="K150" s="21">
        <v>336</v>
      </c>
      <c r="L150" s="21">
        <v>185</v>
      </c>
      <c r="M150" s="21">
        <v>13</v>
      </c>
      <c r="N150" s="24">
        <f>D150*M150</f>
        <v>0</v>
      </c>
      <c r="O150" s="21">
        <f>E150*M150</f>
        <v>0</v>
      </c>
      <c r="P150" s="21">
        <f>F150*M150</f>
        <v>0</v>
      </c>
      <c r="Q150" s="23">
        <f t="shared" si="158"/>
        <v>650</v>
      </c>
      <c r="R150" s="21">
        <f>H150*M150</f>
        <v>3380</v>
      </c>
      <c r="S150" s="21">
        <f>I150*M150</f>
        <v>6110</v>
      </c>
      <c r="T150" s="21">
        <f>J150*M150</f>
        <v>3055</v>
      </c>
      <c r="U150" s="21">
        <f>K150*M150</f>
        <v>4368</v>
      </c>
      <c r="V150" s="21">
        <f>L150*M150</f>
        <v>2405</v>
      </c>
    </row>
    <row r="151" spans="1:94" x14ac:dyDescent="0.2">
      <c r="A151" s="25"/>
      <c r="B151" s="25" t="s">
        <v>95</v>
      </c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3">
        <f t="shared" si="158"/>
        <v>0</v>
      </c>
      <c r="R151" s="25"/>
      <c r="S151" s="25"/>
      <c r="T151" s="25"/>
      <c r="U151" s="25"/>
      <c r="V151" s="25"/>
    </row>
    <row r="152" spans="1:94" x14ac:dyDescent="0.2">
      <c r="A152" s="21" t="s">
        <v>162</v>
      </c>
      <c r="B152" s="21" t="s">
        <v>42</v>
      </c>
      <c r="C152" s="21"/>
      <c r="D152" s="21"/>
      <c r="E152" s="21"/>
      <c r="F152" s="21"/>
      <c r="G152" s="21">
        <v>2</v>
      </c>
      <c r="H152" s="21"/>
      <c r="I152" s="21"/>
      <c r="J152" s="21"/>
      <c r="K152" s="21"/>
      <c r="L152" s="21"/>
      <c r="M152" s="21">
        <v>220</v>
      </c>
      <c r="N152" s="24">
        <f>D152*M152</f>
        <v>0</v>
      </c>
      <c r="O152" s="21">
        <f>E152*M152</f>
        <v>0</v>
      </c>
      <c r="P152" s="21">
        <f>F152*M152</f>
        <v>0</v>
      </c>
      <c r="Q152" s="23">
        <f t="shared" si="158"/>
        <v>440</v>
      </c>
      <c r="R152" s="21">
        <f>H152*M152</f>
        <v>0</v>
      </c>
      <c r="S152" s="21">
        <f>I152*M152</f>
        <v>0</v>
      </c>
      <c r="T152" s="21">
        <f>J152*M152</f>
        <v>0</v>
      </c>
      <c r="U152" s="21">
        <f>K152*M152</f>
        <v>0</v>
      </c>
      <c r="V152" s="21">
        <f>L152*M152</f>
        <v>0</v>
      </c>
    </row>
    <row r="153" spans="1:94" x14ac:dyDescent="0.2">
      <c r="A153" s="21"/>
      <c r="B153" s="21" t="s">
        <v>88</v>
      </c>
      <c r="C153" s="21"/>
      <c r="D153" s="21"/>
      <c r="E153" s="21"/>
      <c r="F153" s="21"/>
      <c r="G153" s="21">
        <v>0.6</v>
      </c>
      <c r="H153" s="21"/>
      <c r="I153" s="21"/>
      <c r="J153" s="21"/>
      <c r="K153" s="21"/>
      <c r="L153" s="21"/>
      <c r="M153" s="21">
        <v>140</v>
      </c>
      <c r="N153" s="24">
        <f>D153*M153</f>
        <v>0</v>
      </c>
      <c r="O153" s="21">
        <f>E153*M153</f>
        <v>0</v>
      </c>
      <c r="P153" s="21">
        <f>F153*M153</f>
        <v>0</v>
      </c>
      <c r="Q153" s="23">
        <f t="shared" si="158"/>
        <v>84</v>
      </c>
      <c r="R153" s="21">
        <f>H153*M153</f>
        <v>0</v>
      </c>
      <c r="S153" s="21">
        <f>I153*M153</f>
        <v>0</v>
      </c>
      <c r="T153" s="21">
        <f>J153*M153</f>
        <v>0</v>
      </c>
      <c r="U153" s="21">
        <f>K153*M153</f>
        <v>0</v>
      </c>
      <c r="V153" s="21">
        <f>L153*M153</f>
        <v>0</v>
      </c>
    </row>
    <row r="154" spans="1:94" x14ac:dyDescent="0.2">
      <c r="A154" s="25"/>
      <c r="B154" s="25" t="s">
        <v>95</v>
      </c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3">
        <f t="shared" si="158"/>
        <v>0</v>
      </c>
      <c r="R154" s="25"/>
      <c r="S154" s="25"/>
      <c r="T154" s="25"/>
      <c r="U154" s="25"/>
      <c r="V154" s="25"/>
    </row>
    <row r="155" spans="1:94" x14ac:dyDescent="0.2">
      <c r="A155" s="21" t="s">
        <v>165</v>
      </c>
      <c r="B155" s="21" t="s">
        <v>17</v>
      </c>
      <c r="C155" s="21"/>
      <c r="D155" s="21"/>
      <c r="E155" s="21"/>
      <c r="F155" s="21"/>
      <c r="G155" s="21">
        <v>50</v>
      </c>
      <c r="H155" s="21"/>
      <c r="I155" s="21"/>
      <c r="J155" s="21"/>
      <c r="K155" s="21"/>
      <c r="L155" s="21"/>
      <c r="M155" s="21">
        <v>220</v>
      </c>
      <c r="N155" s="24">
        <f>D155*M155</f>
        <v>0</v>
      </c>
      <c r="O155" s="21">
        <f>E155*M155</f>
        <v>0</v>
      </c>
      <c r="P155" s="21">
        <f>F155*M155</f>
        <v>0</v>
      </c>
      <c r="Q155" s="23">
        <f t="shared" si="158"/>
        <v>11000</v>
      </c>
      <c r="R155" s="21">
        <f>H155*M155</f>
        <v>0</v>
      </c>
      <c r="S155" s="21">
        <f>I155*M155</f>
        <v>0</v>
      </c>
      <c r="T155" s="21">
        <f>J155*M155</f>
        <v>0</v>
      </c>
      <c r="U155" s="21">
        <f>K155*M155</f>
        <v>0</v>
      </c>
      <c r="V155" s="21">
        <f>L155*M155</f>
        <v>0</v>
      </c>
    </row>
    <row r="156" spans="1:94" x14ac:dyDescent="0.2">
      <c r="A156" s="21"/>
      <c r="B156" s="21" t="s">
        <v>18</v>
      </c>
      <c r="C156" s="21"/>
      <c r="D156" s="21"/>
      <c r="E156" s="21"/>
      <c r="F156" s="21"/>
      <c r="G156" s="21">
        <v>14</v>
      </c>
      <c r="H156" s="21"/>
      <c r="I156" s="21"/>
      <c r="J156" s="21"/>
      <c r="K156" s="21"/>
      <c r="L156" s="21"/>
      <c r="M156" s="21">
        <v>185</v>
      </c>
      <c r="N156" s="24">
        <f>D156*M156</f>
        <v>0</v>
      </c>
      <c r="O156" s="21">
        <f>E156*M156</f>
        <v>0</v>
      </c>
      <c r="P156" s="21">
        <f>F156*M156</f>
        <v>0</v>
      </c>
      <c r="Q156" s="23">
        <f t="shared" si="158"/>
        <v>2590</v>
      </c>
      <c r="R156" s="21">
        <f>H156*M156</f>
        <v>0</v>
      </c>
      <c r="S156" s="21">
        <f>I156*M156</f>
        <v>0</v>
      </c>
      <c r="T156" s="21">
        <f>J156*M156</f>
        <v>0</v>
      </c>
      <c r="U156" s="21">
        <f>K156*M156</f>
        <v>0</v>
      </c>
      <c r="V156" s="21">
        <f>L156*M156</f>
        <v>0</v>
      </c>
    </row>
    <row r="157" spans="1:94" x14ac:dyDescent="0.2">
      <c r="A157" s="21"/>
      <c r="B157" s="21" t="s">
        <v>19</v>
      </c>
      <c r="C157" s="21"/>
      <c r="D157" s="21"/>
      <c r="E157" s="21"/>
      <c r="F157" s="21"/>
      <c r="G157" s="21">
        <v>20</v>
      </c>
      <c r="H157" s="21"/>
      <c r="I157" s="21"/>
      <c r="J157" s="21"/>
      <c r="K157" s="21"/>
      <c r="L157" s="21"/>
      <c r="M157" s="21">
        <v>140</v>
      </c>
      <c r="N157" s="24">
        <f>D157*M157</f>
        <v>0</v>
      </c>
      <c r="O157" s="21">
        <f>E157*M157</f>
        <v>0</v>
      </c>
      <c r="P157" s="21">
        <f>F157*M157</f>
        <v>0</v>
      </c>
      <c r="Q157" s="23">
        <f t="shared" si="158"/>
        <v>2800</v>
      </c>
      <c r="R157" s="21">
        <f>H157*M157</f>
        <v>0</v>
      </c>
      <c r="S157" s="21">
        <f>I157*M157</f>
        <v>0</v>
      </c>
      <c r="T157" s="21">
        <f>J157*M157</f>
        <v>0</v>
      </c>
      <c r="U157" s="21">
        <f>K157*M157</f>
        <v>0</v>
      </c>
      <c r="V157" s="21">
        <f>L157*M157</f>
        <v>0</v>
      </c>
    </row>
    <row r="158" spans="1:94" x14ac:dyDescent="0.2">
      <c r="A158" s="25"/>
      <c r="B158" s="25" t="s">
        <v>95</v>
      </c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3">
        <f t="shared" si="158"/>
        <v>0</v>
      </c>
      <c r="R158" s="25"/>
      <c r="S158" s="25"/>
      <c r="T158" s="25"/>
      <c r="U158" s="25"/>
      <c r="V158" s="25"/>
      <c r="CP158">
        <v>2010</v>
      </c>
    </row>
    <row r="159" spans="1:94" x14ac:dyDescent="0.2">
      <c r="A159" s="21" t="s">
        <v>166</v>
      </c>
      <c r="B159" s="21" t="s">
        <v>4</v>
      </c>
      <c r="C159" s="21" t="s">
        <v>33</v>
      </c>
      <c r="D159" s="21"/>
      <c r="E159" s="21"/>
      <c r="F159" s="21"/>
      <c r="G159" s="21">
        <v>133</v>
      </c>
      <c r="H159" s="21"/>
      <c r="I159" s="21"/>
      <c r="J159" s="21"/>
      <c r="K159" s="21"/>
      <c r="L159" s="21"/>
      <c r="M159" s="21">
        <v>23</v>
      </c>
      <c r="N159" s="24">
        <f>D159*M159</f>
        <v>0</v>
      </c>
      <c r="O159" s="21">
        <f>E159*M159</f>
        <v>0</v>
      </c>
      <c r="P159" s="21">
        <f>F159*M159</f>
        <v>0</v>
      </c>
      <c r="Q159" s="23">
        <f t="shared" si="158"/>
        <v>3059</v>
      </c>
      <c r="R159" s="21">
        <f>H159*M159</f>
        <v>0</v>
      </c>
      <c r="S159" s="21">
        <f>I159*M159</f>
        <v>0</v>
      </c>
      <c r="T159" s="21">
        <f>J159*M159</f>
        <v>0</v>
      </c>
      <c r="U159" s="21">
        <f>K159*M159</f>
        <v>0</v>
      </c>
      <c r="V159" s="21">
        <f>L159*M159</f>
        <v>0</v>
      </c>
      <c r="CO159" s="31" t="s">
        <v>251</v>
      </c>
      <c r="CP159" s="4">
        <f>CH121/CH120*100</f>
        <v>84.534618310930753</v>
      </c>
    </row>
    <row r="160" spans="1:94" x14ac:dyDescent="0.2">
      <c r="A160" s="21"/>
      <c r="B160" s="21" t="s">
        <v>129</v>
      </c>
      <c r="C160" s="21" t="s">
        <v>3</v>
      </c>
      <c r="D160" s="21"/>
      <c r="E160" s="21"/>
      <c r="F160" s="21"/>
      <c r="G160" s="21">
        <v>732</v>
      </c>
      <c r="H160" s="21"/>
      <c r="I160" s="21"/>
      <c r="J160" s="21"/>
      <c r="K160" s="21"/>
      <c r="L160" s="21"/>
      <c r="M160" s="21">
        <v>1</v>
      </c>
      <c r="N160" s="24">
        <f>D160*M160</f>
        <v>0</v>
      </c>
      <c r="O160" s="21">
        <f>E160*M160</f>
        <v>0</v>
      </c>
      <c r="P160" s="21">
        <f>F160*M160</f>
        <v>0</v>
      </c>
      <c r="Q160" s="23">
        <f t="shared" si="158"/>
        <v>732</v>
      </c>
      <c r="R160" s="21">
        <f>H160*M160</f>
        <v>0</v>
      </c>
      <c r="S160" s="21">
        <f>I160*M160</f>
        <v>0</v>
      </c>
      <c r="T160" s="21">
        <f>J160*M160</f>
        <v>0</v>
      </c>
      <c r="U160" s="21">
        <f>K160*M160</f>
        <v>0</v>
      </c>
      <c r="V160" s="21">
        <f>L160*M160</f>
        <v>0</v>
      </c>
      <c r="CO160" s="1" t="s">
        <v>242</v>
      </c>
      <c r="CP160" s="4">
        <f>CH122/CH120*100</f>
        <v>0.17499365965001271</v>
      </c>
    </row>
    <row r="161" spans="1:94" x14ac:dyDescent="0.2">
      <c r="A161" s="25"/>
      <c r="B161" s="25" t="s">
        <v>95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3">
        <f t="shared" si="158"/>
        <v>0</v>
      </c>
      <c r="R161" s="25"/>
      <c r="S161" s="25"/>
      <c r="T161" s="25"/>
      <c r="U161" s="25"/>
      <c r="V161" s="25"/>
      <c r="CO161" s="1" t="s">
        <v>243</v>
      </c>
      <c r="CP161" s="4"/>
    </row>
    <row r="162" spans="1:94" x14ac:dyDescent="0.2">
      <c r="A162" s="21" t="s">
        <v>167</v>
      </c>
      <c r="B162" s="21" t="s">
        <v>38</v>
      </c>
      <c r="C162" s="21" t="s">
        <v>36</v>
      </c>
      <c r="D162" s="21"/>
      <c r="E162" s="21"/>
      <c r="F162" s="21"/>
      <c r="G162" s="21"/>
      <c r="H162" s="21">
        <v>23.8</v>
      </c>
      <c r="I162" s="21">
        <v>12</v>
      </c>
      <c r="J162" s="21"/>
      <c r="K162" s="21"/>
      <c r="L162" s="21"/>
      <c r="M162" s="21">
        <v>9343.5</v>
      </c>
      <c r="N162" s="24">
        <f t="shared" ref="N162:N167" si="159">D162*M162</f>
        <v>0</v>
      </c>
      <c r="O162" s="21">
        <f t="shared" ref="O162:O167" si="160">E162*M162</f>
        <v>0</v>
      </c>
      <c r="P162" s="21">
        <f t="shared" ref="P162:P167" si="161">F162*M162</f>
        <v>0</v>
      </c>
      <c r="Q162" s="23">
        <f t="shared" si="158"/>
        <v>0</v>
      </c>
      <c r="R162" s="21">
        <f t="shared" ref="R162:R167" si="162">H162*M162</f>
        <v>222375.30000000002</v>
      </c>
      <c r="S162" s="21">
        <f t="shared" ref="S162:S167" si="163">I162*M162</f>
        <v>112122</v>
      </c>
      <c r="T162" s="21">
        <f t="shared" ref="T162:T167" si="164">J162*M162</f>
        <v>0</v>
      </c>
      <c r="U162" s="21">
        <f t="shared" ref="U162:U167" si="165">K162*M162</f>
        <v>0</v>
      </c>
      <c r="V162" s="21">
        <f t="shared" ref="V162:V167" si="166">L162*M162</f>
        <v>0</v>
      </c>
      <c r="CO162" s="1" t="s">
        <v>244</v>
      </c>
      <c r="CP162" s="4">
        <f>CH124/CH120*100</f>
        <v>1.331473497337053</v>
      </c>
    </row>
    <row r="163" spans="1:94" x14ac:dyDescent="0.2">
      <c r="A163" s="21" t="s">
        <v>168</v>
      </c>
      <c r="B163" s="21" t="s">
        <v>94</v>
      </c>
      <c r="C163" s="21" t="s">
        <v>9</v>
      </c>
      <c r="D163" s="21"/>
      <c r="E163" s="21"/>
      <c r="F163" s="21"/>
      <c r="G163" s="21"/>
      <c r="H163" s="21">
        <v>92.5</v>
      </c>
      <c r="I163" s="21">
        <v>118</v>
      </c>
      <c r="J163" s="21">
        <v>123.1</v>
      </c>
      <c r="K163" s="21">
        <v>64</v>
      </c>
      <c r="L163" s="21">
        <v>31</v>
      </c>
      <c r="M163" s="21">
        <v>192.4</v>
      </c>
      <c r="N163" s="24">
        <f t="shared" si="159"/>
        <v>0</v>
      </c>
      <c r="O163" s="21">
        <f t="shared" si="160"/>
        <v>0</v>
      </c>
      <c r="P163" s="21">
        <f t="shared" si="161"/>
        <v>0</v>
      </c>
      <c r="Q163" s="23">
        <f t="shared" si="158"/>
        <v>0</v>
      </c>
      <c r="R163" s="21">
        <f t="shared" si="162"/>
        <v>17797</v>
      </c>
      <c r="S163" s="21">
        <f t="shared" si="163"/>
        <v>22703.200000000001</v>
      </c>
      <c r="T163" s="21">
        <f t="shared" si="164"/>
        <v>23684.44</v>
      </c>
      <c r="U163" s="21">
        <f t="shared" si="165"/>
        <v>12313.6</v>
      </c>
      <c r="V163" s="21">
        <f t="shared" si="166"/>
        <v>5964.4000000000005</v>
      </c>
      <c r="CO163" s="1" t="s">
        <v>245</v>
      </c>
      <c r="CP163" s="4"/>
    </row>
    <row r="164" spans="1:94" x14ac:dyDescent="0.2">
      <c r="A164" s="21" t="s">
        <v>173</v>
      </c>
      <c r="B164" s="21" t="s">
        <v>94</v>
      </c>
      <c r="C164" s="21" t="s">
        <v>9</v>
      </c>
      <c r="D164" s="21"/>
      <c r="E164" s="21"/>
      <c r="F164" s="21"/>
      <c r="G164" s="21"/>
      <c r="H164" s="21"/>
      <c r="I164" s="21">
        <v>67.5</v>
      </c>
      <c r="J164" s="21">
        <v>80</v>
      </c>
      <c r="K164" s="21">
        <v>80</v>
      </c>
      <c r="L164" s="21">
        <v>80</v>
      </c>
      <c r="M164" s="21">
        <v>192.4</v>
      </c>
      <c r="N164" s="24">
        <f t="shared" si="159"/>
        <v>0</v>
      </c>
      <c r="O164" s="21">
        <f t="shared" si="160"/>
        <v>0</v>
      </c>
      <c r="P164" s="21">
        <f t="shared" si="161"/>
        <v>0</v>
      </c>
      <c r="Q164" s="23">
        <f t="shared" si="158"/>
        <v>0</v>
      </c>
      <c r="R164" s="21">
        <f t="shared" si="162"/>
        <v>0</v>
      </c>
      <c r="S164" s="21">
        <f t="shared" si="163"/>
        <v>12987</v>
      </c>
      <c r="T164" s="21">
        <f t="shared" si="164"/>
        <v>15392</v>
      </c>
      <c r="U164" s="21">
        <f t="shared" si="165"/>
        <v>15392</v>
      </c>
      <c r="V164" s="21">
        <f t="shared" si="166"/>
        <v>15392</v>
      </c>
      <c r="CO164" s="1" t="s">
        <v>244</v>
      </c>
      <c r="CP164" s="4">
        <f>CH126/CH120*100</f>
        <v>7.1645954856708087</v>
      </c>
    </row>
    <row r="165" spans="1:94" x14ac:dyDescent="0.2">
      <c r="A165" s="21" t="s">
        <v>174</v>
      </c>
      <c r="B165" s="21" t="s">
        <v>148</v>
      </c>
      <c r="C165" s="21" t="s">
        <v>54</v>
      </c>
      <c r="D165" s="21"/>
      <c r="E165" s="21"/>
      <c r="F165" s="21"/>
      <c r="G165" s="21"/>
      <c r="H165" s="21"/>
      <c r="I165" s="21">
        <v>0.5</v>
      </c>
      <c r="J165" s="21">
        <v>0.6</v>
      </c>
      <c r="K165" s="21">
        <v>1.6</v>
      </c>
      <c r="L165" s="21">
        <v>1.2</v>
      </c>
      <c r="M165" s="21">
        <v>5500</v>
      </c>
      <c r="N165" s="24">
        <f t="shared" si="159"/>
        <v>0</v>
      </c>
      <c r="O165" s="21">
        <f t="shared" si="160"/>
        <v>0</v>
      </c>
      <c r="P165" s="21">
        <f t="shared" si="161"/>
        <v>0</v>
      </c>
      <c r="Q165" s="23">
        <f t="shared" si="158"/>
        <v>0</v>
      </c>
      <c r="R165" s="21">
        <f t="shared" si="162"/>
        <v>0</v>
      </c>
      <c r="S165" s="21">
        <f t="shared" si="163"/>
        <v>2750</v>
      </c>
      <c r="T165" s="21">
        <f t="shared" si="164"/>
        <v>3300</v>
      </c>
      <c r="U165" s="21">
        <f t="shared" si="165"/>
        <v>8800</v>
      </c>
      <c r="V165" s="21">
        <f t="shared" si="166"/>
        <v>6600</v>
      </c>
      <c r="CO165" s="1" t="s">
        <v>246</v>
      </c>
      <c r="CP165" s="4">
        <f>CH127/CH120*100</f>
        <v>0.78366725843266538</v>
      </c>
    </row>
    <row r="166" spans="1:94" x14ac:dyDescent="0.2">
      <c r="A166" s="21" t="s">
        <v>169</v>
      </c>
      <c r="B166" s="21" t="s">
        <v>42</v>
      </c>
      <c r="C166" s="21" t="s">
        <v>9</v>
      </c>
      <c r="D166" s="21"/>
      <c r="E166" s="21"/>
      <c r="F166" s="21"/>
      <c r="G166" s="21"/>
      <c r="H166" s="21">
        <v>10</v>
      </c>
      <c r="I166" s="21"/>
      <c r="J166" s="21"/>
      <c r="K166" s="21"/>
      <c r="L166" s="21"/>
      <c r="M166" s="21">
        <v>220</v>
      </c>
      <c r="N166" s="24">
        <f t="shared" si="159"/>
        <v>0</v>
      </c>
      <c r="O166" s="21">
        <f t="shared" si="160"/>
        <v>0</v>
      </c>
      <c r="P166" s="21">
        <f t="shared" si="161"/>
        <v>0</v>
      </c>
      <c r="Q166" s="23">
        <f t="shared" si="158"/>
        <v>0</v>
      </c>
      <c r="R166" s="21">
        <f t="shared" si="162"/>
        <v>2200</v>
      </c>
      <c r="S166" s="21">
        <f t="shared" si="163"/>
        <v>0</v>
      </c>
      <c r="T166" s="21">
        <f t="shared" si="164"/>
        <v>0</v>
      </c>
      <c r="U166" s="21">
        <f t="shared" si="165"/>
        <v>0</v>
      </c>
      <c r="V166" s="21">
        <f t="shared" si="166"/>
        <v>0</v>
      </c>
      <c r="CO166" s="1" t="s">
        <v>247</v>
      </c>
      <c r="CP166" s="4">
        <f>CH128/CH120*100</f>
        <v>5.4628455490743093</v>
      </c>
    </row>
    <row r="167" spans="1:94" x14ac:dyDescent="0.2">
      <c r="A167" s="21"/>
      <c r="B167" s="21" t="s">
        <v>19</v>
      </c>
      <c r="C167" s="21" t="s">
        <v>9</v>
      </c>
      <c r="D167" s="21"/>
      <c r="E167" s="21"/>
      <c r="F167" s="21"/>
      <c r="G167" s="21"/>
      <c r="H167" s="21">
        <v>3</v>
      </c>
      <c r="I167" s="21"/>
      <c r="J167" s="21"/>
      <c r="K167" s="21"/>
      <c r="L167" s="21"/>
      <c r="M167" s="21">
        <v>140</v>
      </c>
      <c r="N167" s="24">
        <f t="shared" si="159"/>
        <v>0</v>
      </c>
      <c r="O167" s="21">
        <f t="shared" si="160"/>
        <v>0</v>
      </c>
      <c r="P167" s="21">
        <f t="shared" si="161"/>
        <v>0</v>
      </c>
      <c r="Q167" s="23">
        <f t="shared" si="158"/>
        <v>0</v>
      </c>
      <c r="R167" s="21">
        <f t="shared" si="162"/>
        <v>420</v>
      </c>
      <c r="S167" s="21">
        <f t="shared" si="163"/>
        <v>0</v>
      </c>
      <c r="T167" s="21">
        <f t="shared" si="164"/>
        <v>0</v>
      </c>
      <c r="U167" s="21">
        <f t="shared" si="165"/>
        <v>0</v>
      </c>
      <c r="V167" s="21">
        <f t="shared" si="166"/>
        <v>0</v>
      </c>
      <c r="CO167" s="1" t="s">
        <v>248</v>
      </c>
      <c r="CP167" s="4"/>
    </row>
    <row r="168" spans="1:94" x14ac:dyDescent="0.2">
      <c r="A168" s="25"/>
      <c r="B168" s="25" t="s">
        <v>157</v>
      </c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3">
        <f t="shared" si="158"/>
        <v>0</v>
      </c>
      <c r="R168" s="25"/>
      <c r="S168" s="25"/>
      <c r="T168" s="25"/>
      <c r="U168" s="25"/>
      <c r="V168" s="25"/>
      <c r="CO168" s="1" t="s">
        <v>249</v>
      </c>
      <c r="CP168" s="4">
        <f>CH130/CH120*100</f>
        <v>0.54780623890438762</v>
      </c>
    </row>
    <row r="169" spans="1:94" x14ac:dyDescent="0.2">
      <c r="A169" s="21" t="s">
        <v>170</v>
      </c>
      <c r="B169" s="21" t="s">
        <v>42</v>
      </c>
      <c r="C169" s="21" t="s">
        <v>9</v>
      </c>
      <c r="D169" s="21"/>
      <c r="E169" s="21"/>
      <c r="F169" s="21"/>
      <c r="G169" s="21"/>
      <c r="H169" s="21">
        <v>13</v>
      </c>
      <c r="I169" s="21"/>
      <c r="J169" s="21"/>
      <c r="K169" s="21"/>
      <c r="L169" s="21"/>
      <c r="M169" s="21">
        <v>220</v>
      </c>
      <c r="N169" s="24">
        <f>D169*M169</f>
        <v>0</v>
      </c>
      <c r="O169" s="21">
        <f>E169*M169</f>
        <v>0</v>
      </c>
      <c r="P169" s="21">
        <f>F169*M169</f>
        <v>0</v>
      </c>
      <c r="Q169" s="23">
        <f t="shared" si="158"/>
        <v>0</v>
      </c>
      <c r="R169" s="21">
        <f>H169*M169</f>
        <v>2860</v>
      </c>
      <c r="S169" s="21">
        <f>I169*M169</f>
        <v>0</v>
      </c>
      <c r="T169" s="21">
        <f>J169*M169</f>
        <v>0</v>
      </c>
      <c r="U169" s="21">
        <f>K169*M169</f>
        <v>0</v>
      </c>
      <c r="V169" s="21">
        <f>L169*M169</f>
        <v>0</v>
      </c>
      <c r="CP169" s="4">
        <f>SUM(CP159:CP168)</f>
        <v>99.999999999999986</v>
      </c>
    </row>
    <row r="170" spans="1:94" x14ac:dyDescent="0.2">
      <c r="A170" s="21"/>
      <c r="B170" s="21" t="s">
        <v>19</v>
      </c>
      <c r="C170" s="21" t="s">
        <v>9</v>
      </c>
      <c r="D170" s="21"/>
      <c r="E170" s="21"/>
      <c r="F170" s="21"/>
      <c r="G170" s="21"/>
      <c r="H170" s="21">
        <v>3</v>
      </c>
      <c r="I170" s="21"/>
      <c r="J170" s="21"/>
      <c r="K170" s="21"/>
      <c r="L170" s="21"/>
      <c r="M170" s="21">
        <v>140</v>
      </c>
      <c r="N170" s="24">
        <f>D170*M170</f>
        <v>0</v>
      </c>
      <c r="O170" s="21">
        <f>E170*M170</f>
        <v>0</v>
      </c>
      <c r="P170" s="21">
        <f>F170*M170</f>
        <v>0</v>
      </c>
      <c r="Q170" s="23">
        <f t="shared" si="158"/>
        <v>0</v>
      </c>
      <c r="R170" s="21">
        <f>H170*M170</f>
        <v>420</v>
      </c>
      <c r="S170" s="21">
        <f>I170*M170</f>
        <v>0</v>
      </c>
      <c r="T170" s="21">
        <f>J170*M170</f>
        <v>0</v>
      </c>
      <c r="U170" s="21">
        <f>K170*M170</f>
        <v>0</v>
      </c>
      <c r="V170" s="21">
        <f>L170*M170</f>
        <v>0</v>
      </c>
    </row>
    <row r="171" spans="1:94" x14ac:dyDescent="0.2">
      <c r="A171" s="25"/>
      <c r="B171" s="25" t="s">
        <v>95</v>
      </c>
      <c r="C171" s="25" t="s">
        <v>3</v>
      </c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3">
        <f t="shared" si="158"/>
        <v>0</v>
      </c>
      <c r="R171" s="25"/>
      <c r="S171" s="25"/>
      <c r="T171" s="25"/>
      <c r="U171" s="25"/>
      <c r="V171" s="25"/>
    </row>
    <row r="172" spans="1:94" x14ac:dyDescent="0.2">
      <c r="A172" s="21" t="s">
        <v>171</v>
      </c>
      <c r="B172" s="21" t="s">
        <v>42</v>
      </c>
      <c r="C172" s="21" t="s">
        <v>9</v>
      </c>
      <c r="D172" s="21"/>
      <c r="E172" s="21"/>
      <c r="F172" s="21"/>
      <c r="G172" s="21"/>
      <c r="H172" s="21">
        <v>7</v>
      </c>
      <c r="I172" s="21"/>
      <c r="J172" s="21"/>
      <c r="K172" s="21"/>
      <c r="L172" s="21"/>
      <c r="M172" s="21">
        <v>220</v>
      </c>
      <c r="N172" s="24">
        <f>D172*M172</f>
        <v>0</v>
      </c>
      <c r="O172" s="21">
        <f>E172*M172</f>
        <v>0</v>
      </c>
      <c r="P172" s="21">
        <f>F172*M172</f>
        <v>0</v>
      </c>
      <c r="Q172" s="23">
        <f t="shared" si="158"/>
        <v>0</v>
      </c>
      <c r="R172" s="21">
        <f>H172*M172</f>
        <v>1540</v>
      </c>
      <c r="S172" s="21">
        <f>I172*M172</f>
        <v>0</v>
      </c>
      <c r="T172" s="21">
        <f>J172*M172</f>
        <v>0</v>
      </c>
      <c r="U172" s="21">
        <f>K172*M172</f>
        <v>0</v>
      </c>
      <c r="V172" s="21">
        <f>L172*M172</f>
        <v>0</v>
      </c>
    </row>
    <row r="173" spans="1:94" x14ac:dyDescent="0.2">
      <c r="A173" s="21"/>
      <c r="B173" s="21" t="s">
        <v>19</v>
      </c>
      <c r="C173" s="21" t="s">
        <v>9</v>
      </c>
      <c r="D173" s="21"/>
      <c r="E173" s="21"/>
      <c r="F173" s="21"/>
      <c r="G173" s="21"/>
      <c r="H173" s="21">
        <v>1</v>
      </c>
      <c r="I173" s="21"/>
      <c r="J173" s="21"/>
      <c r="K173" s="21"/>
      <c r="L173" s="21"/>
      <c r="M173" s="21">
        <v>140</v>
      </c>
      <c r="N173" s="24">
        <f>D173*M173</f>
        <v>0</v>
      </c>
      <c r="O173" s="21">
        <f>E173*M173</f>
        <v>0</v>
      </c>
      <c r="P173" s="21">
        <f>F173*M173</f>
        <v>0</v>
      </c>
      <c r="Q173" s="23">
        <f t="shared" si="158"/>
        <v>0</v>
      </c>
      <c r="R173" s="21">
        <f>H173*M173</f>
        <v>140</v>
      </c>
      <c r="S173" s="21">
        <f>I173*M173</f>
        <v>0</v>
      </c>
      <c r="T173" s="21">
        <f>J173*M173</f>
        <v>0</v>
      </c>
      <c r="U173" s="21">
        <f>K173*M173</f>
        <v>0</v>
      </c>
      <c r="V173" s="21">
        <f>L173*M173</f>
        <v>0</v>
      </c>
    </row>
    <row r="174" spans="1:94" x14ac:dyDescent="0.2">
      <c r="A174" s="25"/>
      <c r="B174" s="25" t="s">
        <v>95</v>
      </c>
      <c r="C174" s="25" t="s">
        <v>3</v>
      </c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3">
        <f t="shared" si="158"/>
        <v>0</v>
      </c>
      <c r="R174" s="25"/>
      <c r="S174" s="25"/>
      <c r="T174" s="25"/>
      <c r="U174" s="25"/>
      <c r="V174" s="25"/>
    </row>
    <row r="175" spans="1:94" x14ac:dyDescent="0.2">
      <c r="A175" s="21" t="s">
        <v>176</v>
      </c>
      <c r="B175" s="21" t="s">
        <v>35</v>
      </c>
      <c r="C175" s="21" t="s">
        <v>9</v>
      </c>
      <c r="D175" s="21"/>
      <c r="E175" s="21"/>
      <c r="F175" s="21"/>
      <c r="G175" s="21"/>
      <c r="H175" s="21"/>
      <c r="I175" s="21"/>
      <c r="J175" s="21">
        <v>15.9</v>
      </c>
      <c r="K175" s="21">
        <v>6.2</v>
      </c>
      <c r="L175" s="21">
        <v>5.8</v>
      </c>
      <c r="M175" s="21">
        <v>2082</v>
      </c>
      <c r="N175" s="24">
        <f t="shared" ref="N175:N181" si="167">D175*M175</f>
        <v>0</v>
      </c>
      <c r="O175" s="21">
        <f t="shared" ref="O175:O181" si="168">E175*M175</f>
        <v>0</v>
      </c>
      <c r="P175" s="21">
        <f t="shared" ref="P175:P181" si="169">F175*M175</f>
        <v>0</v>
      </c>
      <c r="Q175" s="23">
        <f t="shared" si="158"/>
        <v>0</v>
      </c>
      <c r="R175" s="21">
        <f t="shared" ref="R175:R181" si="170">H175*M175</f>
        <v>0</v>
      </c>
      <c r="S175" s="21">
        <f t="shared" ref="S175:S181" si="171">I175*M175</f>
        <v>0</v>
      </c>
      <c r="T175" s="21">
        <f t="shared" ref="T175:T181" si="172">J175*M175</f>
        <v>33103.800000000003</v>
      </c>
      <c r="U175" s="21">
        <f t="shared" ref="U175:U181" si="173">K175*M175</f>
        <v>12908.4</v>
      </c>
      <c r="V175" s="21">
        <f t="shared" ref="V175:V181" si="174">L175*M175</f>
        <v>12075.6</v>
      </c>
    </row>
    <row r="176" spans="1:94" x14ac:dyDescent="0.2">
      <c r="A176" s="21" t="s">
        <v>177</v>
      </c>
      <c r="B176" s="21" t="s">
        <v>178</v>
      </c>
      <c r="C176" s="21" t="s">
        <v>33</v>
      </c>
      <c r="D176" s="21"/>
      <c r="E176" s="21"/>
      <c r="F176" s="21"/>
      <c r="G176" s="21"/>
      <c r="H176" s="21"/>
      <c r="I176" s="21"/>
      <c r="J176" s="21">
        <v>150</v>
      </c>
      <c r="K176" s="21">
        <v>127</v>
      </c>
      <c r="L176" s="21">
        <v>153</v>
      </c>
      <c r="M176" s="21">
        <v>23</v>
      </c>
      <c r="N176" s="24">
        <f t="shared" si="167"/>
        <v>0</v>
      </c>
      <c r="O176" s="21">
        <f t="shared" si="168"/>
        <v>0</v>
      </c>
      <c r="P176" s="21">
        <f t="shared" si="169"/>
        <v>0</v>
      </c>
      <c r="Q176" s="23">
        <f t="shared" si="158"/>
        <v>0</v>
      </c>
      <c r="R176" s="21">
        <f t="shared" si="170"/>
        <v>0</v>
      </c>
      <c r="S176" s="21">
        <f t="shared" si="171"/>
        <v>0</v>
      </c>
      <c r="T176" s="21">
        <f t="shared" si="172"/>
        <v>3450</v>
      </c>
      <c r="U176" s="21">
        <f t="shared" si="173"/>
        <v>2921</v>
      </c>
      <c r="V176" s="21">
        <f t="shared" si="174"/>
        <v>3519</v>
      </c>
    </row>
    <row r="177" spans="1:22" x14ac:dyDescent="0.2">
      <c r="A177" s="21"/>
      <c r="B177" s="21" t="s">
        <v>201</v>
      </c>
      <c r="C177" s="21"/>
      <c r="D177" s="21"/>
      <c r="E177" s="21"/>
      <c r="F177" s="21"/>
      <c r="G177" s="21"/>
      <c r="H177" s="21"/>
      <c r="I177" s="21"/>
      <c r="J177" s="21"/>
      <c r="K177" s="21"/>
      <c r="L177" s="21">
        <v>10</v>
      </c>
      <c r="M177" s="21">
        <v>1</v>
      </c>
      <c r="N177" s="24">
        <f t="shared" si="167"/>
        <v>0</v>
      </c>
      <c r="O177" s="21">
        <f t="shared" si="168"/>
        <v>0</v>
      </c>
      <c r="P177" s="21">
        <f t="shared" si="169"/>
        <v>0</v>
      </c>
      <c r="Q177" s="23">
        <f t="shared" si="158"/>
        <v>0</v>
      </c>
      <c r="R177" s="21">
        <f t="shared" si="170"/>
        <v>0</v>
      </c>
      <c r="S177" s="21">
        <f t="shared" si="171"/>
        <v>0</v>
      </c>
      <c r="T177" s="21">
        <f t="shared" si="172"/>
        <v>0</v>
      </c>
      <c r="U177" s="21">
        <f t="shared" si="173"/>
        <v>0</v>
      </c>
      <c r="V177" s="21">
        <f t="shared" si="174"/>
        <v>10</v>
      </c>
    </row>
    <row r="178" spans="1:22" x14ac:dyDescent="0.2">
      <c r="A178" s="21"/>
      <c r="B178" s="21" t="s">
        <v>202</v>
      </c>
      <c r="C178" s="21"/>
      <c r="D178" s="21"/>
      <c r="E178" s="21"/>
      <c r="F178" s="21"/>
      <c r="G178" s="21"/>
      <c r="H178" s="21"/>
      <c r="I178" s="21"/>
      <c r="J178" s="21"/>
      <c r="K178" s="21"/>
      <c r="L178" s="21">
        <v>8</v>
      </c>
      <c r="M178" s="21">
        <v>1</v>
      </c>
      <c r="N178" s="24">
        <f t="shared" si="167"/>
        <v>0</v>
      </c>
      <c r="O178" s="21">
        <f t="shared" si="168"/>
        <v>0</v>
      </c>
      <c r="P178" s="21">
        <f t="shared" si="169"/>
        <v>0</v>
      </c>
      <c r="Q178" s="23">
        <f t="shared" si="158"/>
        <v>0</v>
      </c>
      <c r="R178" s="21">
        <f t="shared" si="170"/>
        <v>0</v>
      </c>
      <c r="S178" s="21">
        <f t="shared" si="171"/>
        <v>0</v>
      </c>
      <c r="T178" s="21">
        <f t="shared" si="172"/>
        <v>0</v>
      </c>
      <c r="U178" s="21">
        <f t="shared" si="173"/>
        <v>0</v>
      </c>
      <c r="V178" s="21">
        <f t="shared" si="174"/>
        <v>8</v>
      </c>
    </row>
    <row r="179" spans="1:22" x14ac:dyDescent="0.2">
      <c r="A179" s="21"/>
      <c r="B179" s="21" t="s">
        <v>179</v>
      </c>
      <c r="C179" s="21" t="s">
        <v>33</v>
      </c>
      <c r="D179" s="21"/>
      <c r="E179" s="21"/>
      <c r="F179" s="21"/>
      <c r="G179" s="21"/>
      <c r="H179" s="21"/>
      <c r="I179" s="21"/>
      <c r="J179" s="21">
        <v>25</v>
      </c>
      <c r="K179" s="21">
        <v>43</v>
      </c>
      <c r="L179" s="21">
        <v>46</v>
      </c>
      <c r="M179" s="21">
        <v>20</v>
      </c>
      <c r="N179" s="24">
        <f t="shared" si="167"/>
        <v>0</v>
      </c>
      <c r="O179" s="21">
        <f t="shared" si="168"/>
        <v>0</v>
      </c>
      <c r="P179" s="21">
        <f t="shared" si="169"/>
        <v>0</v>
      </c>
      <c r="Q179" s="23">
        <f t="shared" si="158"/>
        <v>0</v>
      </c>
      <c r="R179" s="21">
        <f t="shared" si="170"/>
        <v>0</v>
      </c>
      <c r="S179" s="21">
        <f t="shared" si="171"/>
        <v>0</v>
      </c>
      <c r="T179" s="21">
        <f t="shared" si="172"/>
        <v>500</v>
      </c>
      <c r="U179" s="21">
        <f t="shared" si="173"/>
        <v>860</v>
      </c>
      <c r="V179" s="21">
        <f t="shared" si="174"/>
        <v>920</v>
      </c>
    </row>
    <row r="180" spans="1:22" x14ac:dyDescent="0.2">
      <c r="A180" s="21"/>
      <c r="B180" s="21" t="s">
        <v>180</v>
      </c>
      <c r="C180" s="21" t="s">
        <v>33</v>
      </c>
      <c r="D180" s="21"/>
      <c r="E180" s="21"/>
      <c r="F180" s="21"/>
      <c r="G180" s="21"/>
      <c r="H180" s="21"/>
      <c r="I180" s="21"/>
      <c r="J180" s="21">
        <v>106</v>
      </c>
      <c r="K180" s="21">
        <v>92</v>
      </c>
      <c r="L180" s="21">
        <v>95</v>
      </c>
      <c r="M180" s="21">
        <v>15</v>
      </c>
      <c r="N180" s="24">
        <f t="shared" si="167"/>
        <v>0</v>
      </c>
      <c r="O180" s="21">
        <f t="shared" si="168"/>
        <v>0</v>
      </c>
      <c r="P180" s="21">
        <f t="shared" si="169"/>
        <v>0</v>
      </c>
      <c r="Q180" s="23">
        <f t="shared" si="158"/>
        <v>0</v>
      </c>
      <c r="R180" s="21">
        <f t="shared" si="170"/>
        <v>0</v>
      </c>
      <c r="S180" s="21">
        <f t="shared" si="171"/>
        <v>0</v>
      </c>
      <c r="T180" s="21">
        <f t="shared" si="172"/>
        <v>1590</v>
      </c>
      <c r="U180" s="21">
        <f t="shared" si="173"/>
        <v>1380</v>
      </c>
      <c r="V180" s="21">
        <f t="shared" si="174"/>
        <v>1425</v>
      </c>
    </row>
    <row r="181" spans="1:22" x14ac:dyDescent="0.2">
      <c r="A181" s="21"/>
      <c r="B181" s="21" t="s">
        <v>181</v>
      </c>
      <c r="C181" s="21" t="s">
        <v>33</v>
      </c>
      <c r="D181" s="21"/>
      <c r="E181" s="21"/>
      <c r="F181" s="21"/>
      <c r="G181" s="21"/>
      <c r="H181" s="21"/>
      <c r="I181" s="21"/>
      <c r="J181" s="21">
        <v>27</v>
      </c>
      <c r="K181" s="21">
        <v>72</v>
      </c>
      <c r="L181" s="21">
        <v>65</v>
      </c>
      <c r="M181" s="21">
        <v>10</v>
      </c>
      <c r="N181" s="24">
        <f t="shared" si="167"/>
        <v>0</v>
      </c>
      <c r="O181" s="21">
        <f t="shared" si="168"/>
        <v>0</v>
      </c>
      <c r="P181" s="21">
        <f t="shared" si="169"/>
        <v>0</v>
      </c>
      <c r="Q181" s="23">
        <f t="shared" si="158"/>
        <v>0</v>
      </c>
      <c r="R181" s="21">
        <f t="shared" si="170"/>
        <v>0</v>
      </c>
      <c r="S181" s="21">
        <f t="shared" si="171"/>
        <v>0</v>
      </c>
      <c r="T181" s="21">
        <f t="shared" si="172"/>
        <v>270</v>
      </c>
      <c r="U181" s="21">
        <f t="shared" si="173"/>
        <v>720</v>
      </c>
      <c r="V181" s="21">
        <f t="shared" si="174"/>
        <v>650</v>
      </c>
    </row>
    <row r="182" spans="1:22" x14ac:dyDescent="0.2">
      <c r="A182" s="25"/>
      <c r="B182" s="25" t="s">
        <v>157</v>
      </c>
      <c r="C182" s="25" t="s">
        <v>3</v>
      </c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3">
        <f t="shared" si="158"/>
        <v>0</v>
      </c>
      <c r="R182" s="25"/>
      <c r="S182" s="25"/>
      <c r="T182" s="25"/>
      <c r="U182" s="25"/>
      <c r="V182" s="25"/>
    </row>
    <row r="183" spans="1:22" x14ac:dyDescent="0.2">
      <c r="A183" s="21" t="s">
        <v>184</v>
      </c>
      <c r="B183" s="21" t="s">
        <v>185</v>
      </c>
      <c r="C183" s="21" t="s">
        <v>25</v>
      </c>
      <c r="D183" s="21"/>
      <c r="E183" s="21"/>
      <c r="F183" s="21"/>
      <c r="G183" s="21"/>
      <c r="H183" s="21"/>
      <c r="I183" s="21"/>
      <c r="J183" s="21">
        <v>146.5</v>
      </c>
      <c r="K183" s="21">
        <v>154.80000000000001</v>
      </c>
      <c r="L183" s="21">
        <v>242</v>
      </c>
      <c r="M183" s="21">
        <v>95.5</v>
      </c>
      <c r="N183" s="24">
        <f>D183*M183</f>
        <v>0</v>
      </c>
      <c r="O183" s="21">
        <f>E183*M183</f>
        <v>0</v>
      </c>
      <c r="P183" s="21">
        <f>F183*M183</f>
        <v>0</v>
      </c>
      <c r="Q183" s="23">
        <f t="shared" si="158"/>
        <v>0</v>
      </c>
      <c r="R183" s="21">
        <f>H183*M183</f>
        <v>0</v>
      </c>
      <c r="S183" s="21">
        <f>I183*M183</f>
        <v>0</v>
      </c>
      <c r="T183" s="21">
        <f>J183*M183</f>
        <v>13990.75</v>
      </c>
      <c r="U183" s="21">
        <f>K183*M183</f>
        <v>14783.400000000001</v>
      </c>
      <c r="V183" s="21">
        <f>L183*M183</f>
        <v>23111</v>
      </c>
    </row>
    <row r="184" spans="1:22" x14ac:dyDescent="0.2">
      <c r="A184" s="21" t="s">
        <v>187</v>
      </c>
      <c r="B184" s="21" t="s">
        <v>34</v>
      </c>
      <c r="C184" s="21" t="s">
        <v>7</v>
      </c>
      <c r="D184" s="21"/>
      <c r="E184" s="21"/>
      <c r="F184" s="21"/>
      <c r="G184" s="21"/>
      <c r="H184" s="21"/>
      <c r="I184" s="21"/>
      <c r="J184" s="21"/>
      <c r="K184" s="21">
        <v>190</v>
      </c>
      <c r="L184" s="21">
        <v>129</v>
      </c>
      <c r="M184" s="21">
        <v>30</v>
      </c>
      <c r="N184" s="24">
        <f>D184*M184</f>
        <v>0</v>
      </c>
      <c r="O184" s="21">
        <f>E184*M184</f>
        <v>0</v>
      </c>
      <c r="P184" s="21">
        <f>F184*M184</f>
        <v>0</v>
      </c>
      <c r="Q184" s="23">
        <f t="shared" si="158"/>
        <v>0</v>
      </c>
      <c r="R184" s="21">
        <f>H184*M184</f>
        <v>0</v>
      </c>
      <c r="S184" s="21">
        <f>I184*M184</f>
        <v>0</v>
      </c>
      <c r="T184" s="21">
        <f>J184*M184</f>
        <v>0</v>
      </c>
      <c r="U184" s="21">
        <f>K184*M184</f>
        <v>5700</v>
      </c>
      <c r="V184" s="21">
        <f>L184*M184</f>
        <v>3870</v>
      </c>
    </row>
    <row r="185" spans="1:22" x14ac:dyDescent="0.2">
      <c r="A185" s="21"/>
      <c r="B185" s="21" t="s">
        <v>142</v>
      </c>
      <c r="C185" s="21" t="s">
        <v>7</v>
      </c>
      <c r="D185" s="21"/>
      <c r="E185" s="21"/>
      <c r="F185" s="21"/>
      <c r="G185" s="21"/>
      <c r="H185" s="21"/>
      <c r="I185" s="21"/>
      <c r="J185" s="21"/>
      <c r="K185" s="21">
        <v>46</v>
      </c>
      <c r="L185" s="21">
        <v>52</v>
      </c>
      <c r="M185" s="21">
        <v>17</v>
      </c>
      <c r="N185" s="24">
        <f>D185*M185</f>
        <v>0</v>
      </c>
      <c r="O185" s="21">
        <f>E185*M185</f>
        <v>0</v>
      </c>
      <c r="P185" s="21">
        <f>F185*M185</f>
        <v>0</v>
      </c>
      <c r="Q185" s="23">
        <f t="shared" si="158"/>
        <v>0</v>
      </c>
      <c r="R185" s="21">
        <f>H185*M185</f>
        <v>0</v>
      </c>
      <c r="S185" s="21">
        <f>I185*M185</f>
        <v>0</v>
      </c>
      <c r="T185" s="21">
        <f>J185*M185</f>
        <v>0</v>
      </c>
      <c r="U185" s="21">
        <f>K185*M185</f>
        <v>782</v>
      </c>
      <c r="V185" s="21">
        <f>L185*M185</f>
        <v>884</v>
      </c>
    </row>
    <row r="186" spans="1:22" x14ac:dyDescent="0.2">
      <c r="A186" s="21"/>
      <c r="B186" s="21" t="s">
        <v>97</v>
      </c>
      <c r="C186" s="21" t="s">
        <v>7</v>
      </c>
      <c r="D186" s="21"/>
      <c r="E186" s="21"/>
      <c r="F186" s="21"/>
      <c r="G186" s="21"/>
      <c r="H186" s="21"/>
      <c r="I186" s="21"/>
      <c r="J186" s="21"/>
      <c r="K186" s="21">
        <v>115</v>
      </c>
      <c r="L186" s="21">
        <v>50</v>
      </c>
      <c r="M186" s="21">
        <v>8</v>
      </c>
      <c r="N186" s="24">
        <f>D186*M186</f>
        <v>0</v>
      </c>
      <c r="O186" s="21">
        <f>E186*M186</f>
        <v>0</v>
      </c>
      <c r="P186" s="21">
        <f>F186*M186</f>
        <v>0</v>
      </c>
      <c r="Q186" s="23">
        <f t="shared" si="158"/>
        <v>0</v>
      </c>
      <c r="R186" s="21">
        <f>H186*M186</f>
        <v>0</v>
      </c>
      <c r="S186" s="21">
        <f>I186*M186</f>
        <v>0</v>
      </c>
      <c r="T186" s="21">
        <f>J186*M186</f>
        <v>0</v>
      </c>
      <c r="U186" s="21">
        <f>K186*M186</f>
        <v>920</v>
      </c>
      <c r="V186" s="21">
        <f>L186*M186</f>
        <v>400</v>
      </c>
    </row>
    <row r="187" spans="1:22" x14ac:dyDescent="0.2">
      <c r="A187" s="21"/>
      <c r="B187" s="21" t="s">
        <v>129</v>
      </c>
      <c r="C187" s="21" t="s">
        <v>3</v>
      </c>
      <c r="D187" s="21"/>
      <c r="E187" s="21"/>
      <c r="F187" s="21"/>
      <c r="G187" s="21"/>
      <c r="H187" s="21"/>
      <c r="I187" s="21"/>
      <c r="J187" s="21"/>
      <c r="K187" s="21">
        <v>631</v>
      </c>
      <c r="L187" s="21">
        <v>670</v>
      </c>
      <c r="M187" s="21">
        <v>1</v>
      </c>
      <c r="N187" s="24">
        <f>D187*M187</f>
        <v>0</v>
      </c>
      <c r="O187" s="21">
        <f>E187*M187</f>
        <v>0</v>
      </c>
      <c r="P187" s="21">
        <f>F187*M187</f>
        <v>0</v>
      </c>
      <c r="Q187" s="23">
        <f t="shared" si="158"/>
        <v>0</v>
      </c>
      <c r="R187" s="21">
        <f>H187*M187</f>
        <v>0</v>
      </c>
      <c r="S187" s="21">
        <f>I187*M187</f>
        <v>0</v>
      </c>
      <c r="T187" s="21">
        <f>J187*M187</f>
        <v>0</v>
      </c>
      <c r="U187" s="21">
        <f>K187*M187</f>
        <v>631</v>
      </c>
      <c r="V187" s="21">
        <f>L187*M187</f>
        <v>670</v>
      </c>
    </row>
    <row r="188" spans="1:22" x14ac:dyDescent="0.2">
      <c r="A188" s="25"/>
      <c r="B188" s="25" t="s">
        <v>157</v>
      </c>
      <c r="C188" s="25" t="s">
        <v>3</v>
      </c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3">
        <f t="shared" si="158"/>
        <v>0</v>
      </c>
      <c r="R188" s="25"/>
      <c r="S188" s="25"/>
      <c r="T188" s="25"/>
      <c r="U188" s="25"/>
      <c r="V188" s="25"/>
    </row>
    <row r="189" spans="1:22" x14ac:dyDescent="0.2">
      <c r="A189" s="21" t="s">
        <v>188</v>
      </c>
      <c r="B189" s="21" t="s">
        <v>26</v>
      </c>
      <c r="C189" s="21" t="s">
        <v>15</v>
      </c>
      <c r="D189" s="21"/>
      <c r="E189" s="21"/>
      <c r="F189" s="21"/>
      <c r="G189" s="21"/>
      <c r="H189" s="21"/>
      <c r="I189" s="21"/>
      <c r="J189" s="21"/>
      <c r="K189" s="21">
        <v>33.200000000000003</v>
      </c>
      <c r="L189" s="21">
        <v>10</v>
      </c>
      <c r="M189" s="21">
        <v>195</v>
      </c>
      <c r="N189" s="24">
        <f>D189*M189</f>
        <v>0</v>
      </c>
      <c r="O189" s="21">
        <f>E189*M189</f>
        <v>0</v>
      </c>
      <c r="P189" s="21">
        <f>F189*M189</f>
        <v>0</v>
      </c>
      <c r="Q189" s="23">
        <f t="shared" si="158"/>
        <v>0</v>
      </c>
      <c r="R189" s="21">
        <f>H189*M189</f>
        <v>0</v>
      </c>
      <c r="S189" s="21">
        <f>I189*M189</f>
        <v>0</v>
      </c>
      <c r="T189" s="21">
        <f>J189*M189</f>
        <v>0</v>
      </c>
      <c r="U189" s="21">
        <f>K189*M189</f>
        <v>6474.0000000000009</v>
      </c>
      <c r="V189" s="21">
        <f>L189*M189</f>
        <v>1950</v>
      </c>
    </row>
    <row r="190" spans="1:22" x14ac:dyDescent="0.2">
      <c r="A190" s="21"/>
      <c r="B190" s="21" t="s">
        <v>150</v>
      </c>
      <c r="C190" s="21" t="s">
        <v>8</v>
      </c>
      <c r="D190" s="21"/>
      <c r="E190" s="21"/>
      <c r="F190" s="21"/>
      <c r="G190" s="21"/>
      <c r="H190" s="21"/>
      <c r="I190" s="21"/>
      <c r="J190" s="21"/>
      <c r="K190" s="21">
        <v>38</v>
      </c>
      <c r="L190" s="21">
        <v>15.8</v>
      </c>
      <c r="M190" s="21">
        <v>80.599999999999994</v>
      </c>
      <c r="N190" s="24">
        <f>D190*M190</f>
        <v>0</v>
      </c>
      <c r="O190" s="21">
        <f>E190*M190</f>
        <v>0</v>
      </c>
      <c r="P190" s="21">
        <f>F190*M190</f>
        <v>0</v>
      </c>
      <c r="Q190" s="23">
        <f t="shared" si="158"/>
        <v>0</v>
      </c>
      <c r="R190" s="21">
        <f>H190*M190</f>
        <v>0</v>
      </c>
      <c r="S190" s="21">
        <f>I190*M190</f>
        <v>0</v>
      </c>
      <c r="T190" s="21">
        <f>J190*M190</f>
        <v>0</v>
      </c>
      <c r="U190" s="21">
        <f>K190*M190</f>
        <v>3062.7999999999997</v>
      </c>
      <c r="V190" s="21">
        <f>L190*M190</f>
        <v>1273.48</v>
      </c>
    </row>
    <row r="191" spans="1:22" x14ac:dyDescent="0.2">
      <c r="A191" s="25"/>
      <c r="B191" s="25" t="s">
        <v>95</v>
      </c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3">
        <f t="shared" si="158"/>
        <v>0</v>
      </c>
      <c r="R191" s="25"/>
      <c r="S191" s="25"/>
      <c r="T191" s="25"/>
      <c r="U191" s="25"/>
      <c r="V191" s="25"/>
    </row>
    <row r="192" spans="1:22" x14ac:dyDescent="0.2">
      <c r="A192" s="21" t="s">
        <v>190</v>
      </c>
      <c r="B192" s="21" t="s">
        <v>35</v>
      </c>
      <c r="C192" s="21" t="s">
        <v>9</v>
      </c>
      <c r="D192" s="21"/>
      <c r="E192" s="21"/>
      <c r="F192" s="21"/>
      <c r="G192" s="21"/>
      <c r="H192" s="21"/>
      <c r="I192" s="21"/>
      <c r="J192" s="21"/>
      <c r="K192" s="21"/>
      <c r="L192" s="21">
        <v>4.4000000000000004</v>
      </c>
      <c r="M192" s="21">
        <v>2082</v>
      </c>
      <c r="N192" s="24">
        <f>D192*M192</f>
        <v>0</v>
      </c>
      <c r="O192" s="21">
        <f>E192*M192</f>
        <v>0</v>
      </c>
      <c r="P192" s="21">
        <f>F192*M192</f>
        <v>0</v>
      </c>
      <c r="Q192" s="23">
        <f t="shared" si="158"/>
        <v>0</v>
      </c>
      <c r="R192" s="21">
        <f>H192*M192</f>
        <v>0</v>
      </c>
      <c r="S192" s="21">
        <f>I192*M192</f>
        <v>0</v>
      </c>
      <c r="T192" s="21">
        <f>J192*M192</f>
        <v>0</v>
      </c>
      <c r="U192" s="21">
        <f>K192*M192</f>
        <v>0</v>
      </c>
      <c r="V192" s="21">
        <f>L192*M192</f>
        <v>9160.8000000000011</v>
      </c>
    </row>
    <row r="193" spans="1:99" x14ac:dyDescent="0.2">
      <c r="A193" s="21"/>
      <c r="B193" s="21" t="s">
        <v>196</v>
      </c>
      <c r="C193" s="21" t="s">
        <v>9</v>
      </c>
      <c r="D193" s="21"/>
      <c r="E193" s="21"/>
      <c r="F193" s="21"/>
      <c r="G193" s="21"/>
      <c r="H193" s="21"/>
      <c r="I193" s="21"/>
      <c r="J193" s="21"/>
      <c r="K193" s="21"/>
      <c r="L193" s="21">
        <v>100</v>
      </c>
      <c r="M193" s="21">
        <v>1000</v>
      </c>
      <c r="N193" s="24">
        <f>D193*M193</f>
        <v>0</v>
      </c>
      <c r="O193" s="21">
        <f>E193*M193</f>
        <v>0</v>
      </c>
      <c r="P193" s="21">
        <f>F193*M193</f>
        <v>0</v>
      </c>
      <c r="Q193" s="23">
        <f t="shared" si="158"/>
        <v>0</v>
      </c>
      <c r="R193" s="21">
        <f>H193*M193</f>
        <v>0</v>
      </c>
      <c r="S193" s="21">
        <f>I193*M193</f>
        <v>0</v>
      </c>
      <c r="T193" s="21">
        <f>J193*M193</f>
        <v>0</v>
      </c>
      <c r="U193" s="21">
        <f>K193*M193</f>
        <v>0</v>
      </c>
      <c r="V193" s="21">
        <f>L193*M193</f>
        <v>100000</v>
      </c>
    </row>
    <row r="194" spans="1:99" x14ac:dyDescent="0.2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3">
        <f t="shared" si="158"/>
        <v>0</v>
      </c>
      <c r="R194" s="25"/>
      <c r="S194" s="25"/>
      <c r="T194" s="25"/>
      <c r="U194" s="25"/>
      <c r="V194" s="25"/>
    </row>
    <row r="195" spans="1:99" x14ac:dyDescent="0.2">
      <c r="A195" s="21" t="s">
        <v>191</v>
      </c>
      <c r="B195" s="21" t="s">
        <v>6</v>
      </c>
      <c r="C195" s="21" t="s">
        <v>8</v>
      </c>
      <c r="D195" s="21"/>
      <c r="E195" s="21"/>
      <c r="F195" s="21"/>
      <c r="G195" s="21"/>
      <c r="H195" s="21"/>
      <c r="I195" s="21"/>
      <c r="J195" s="21"/>
      <c r="K195" s="21"/>
      <c r="L195" s="21">
        <v>850</v>
      </c>
      <c r="M195" s="21">
        <v>64</v>
      </c>
      <c r="N195" s="24">
        <f t="shared" ref="N195:N200" si="175">D195*M195</f>
        <v>0</v>
      </c>
      <c r="O195" s="21">
        <f t="shared" ref="O195:O200" si="176">E195*M195</f>
        <v>0</v>
      </c>
      <c r="P195" s="21">
        <f t="shared" ref="P195:P200" si="177">F195*M195</f>
        <v>0</v>
      </c>
      <c r="Q195" s="23">
        <f t="shared" si="158"/>
        <v>0</v>
      </c>
      <c r="R195" s="21">
        <f t="shared" ref="R195:R200" si="178">H195*M195</f>
        <v>0</v>
      </c>
      <c r="S195" s="21">
        <f t="shared" ref="S195:S200" si="179">I195*M195</f>
        <v>0</v>
      </c>
      <c r="T195" s="21">
        <f t="shared" ref="T195:T200" si="180">J195*M195</f>
        <v>0</v>
      </c>
      <c r="U195" s="21">
        <f t="shared" ref="U195:U200" si="181">K195*M195</f>
        <v>0</v>
      </c>
      <c r="V195" s="21">
        <f t="shared" ref="V195:V200" si="182">L195*M195</f>
        <v>54400</v>
      </c>
      <c r="CN195" s="160" t="s">
        <v>312</v>
      </c>
      <c r="CO195" s="160"/>
      <c r="CP195" s="160"/>
      <c r="CQ195" s="160"/>
      <c r="CR195" s="160"/>
      <c r="CS195" s="160"/>
      <c r="CT195" s="160"/>
    </row>
    <row r="196" spans="1:99" x14ac:dyDescent="0.2">
      <c r="A196" s="21" t="s">
        <v>192</v>
      </c>
      <c r="B196" s="21" t="s">
        <v>37</v>
      </c>
      <c r="C196" s="21" t="s">
        <v>15</v>
      </c>
      <c r="D196" s="21"/>
      <c r="E196" s="21"/>
      <c r="F196" s="21"/>
      <c r="G196" s="21"/>
      <c r="H196" s="21"/>
      <c r="I196" s="21"/>
      <c r="J196" s="21"/>
      <c r="K196" s="21"/>
      <c r="L196" s="21">
        <v>6.4</v>
      </c>
      <c r="M196" s="21">
        <v>756.9</v>
      </c>
      <c r="N196" s="24">
        <f t="shared" si="175"/>
        <v>0</v>
      </c>
      <c r="O196" s="21">
        <f t="shared" si="176"/>
        <v>0</v>
      </c>
      <c r="P196" s="21">
        <f t="shared" si="177"/>
        <v>0</v>
      </c>
      <c r="Q196" s="23">
        <f t="shared" si="158"/>
        <v>0</v>
      </c>
      <c r="R196" s="21">
        <f t="shared" si="178"/>
        <v>0</v>
      </c>
      <c r="S196" s="21">
        <f t="shared" si="179"/>
        <v>0</v>
      </c>
      <c r="T196" s="21">
        <f t="shared" si="180"/>
        <v>0</v>
      </c>
      <c r="U196" s="21">
        <f t="shared" si="181"/>
        <v>0</v>
      </c>
      <c r="V196" s="21">
        <f t="shared" si="182"/>
        <v>4844.16</v>
      </c>
      <c r="CN196" s="9"/>
      <c r="CO196" s="166"/>
      <c r="CP196" s="166"/>
      <c r="CQ196" s="166"/>
      <c r="CR196" s="9"/>
    </row>
    <row r="197" spans="1:99" x14ac:dyDescent="0.2">
      <c r="A197" s="21"/>
      <c r="B197" s="21" t="s">
        <v>200</v>
      </c>
      <c r="C197" s="21" t="s">
        <v>15</v>
      </c>
      <c r="D197" s="21"/>
      <c r="E197" s="21"/>
      <c r="F197" s="21"/>
      <c r="G197" s="21"/>
      <c r="H197" s="21"/>
      <c r="I197" s="21"/>
      <c r="J197" s="21"/>
      <c r="K197" s="21"/>
      <c r="L197" s="21">
        <v>0.4</v>
      </c>
      <c r="M197" s="21">
        <v>536.6</v>
      </c>
      <c r="N197" s="24">
        <f t="shared" si="175"/>
        <v>0</v>
      </c>
      <c r="O197" s="21">
        <f t="shared" si="176"/>
        <v>0</v>
      </c>
      <c r="P197" s="21">
        <f t="shared" si="177"/>
        <v>0</v>
      </c>
      <c r="Q197" s="23">
        <f t="shared" si="158"/>
        <v>0</v>
      </c>
      <c r="R197" s="21">
        <f t="shared" si="178"/>
        <v>0</v>
      </c>
      <c r="S197" s="21">
        <f t="shared" si="179"/>
        <v>0</v>
      </c>
      <c r="T197" s="21">
        <f t="shared" si="180"/>
        <v>0</v>
      </c>
      <c r="U197" s="21">
        <f t="shared" si="181"/>
        <v>0</v>
      </c>
      <c r="V197" s="21">
        <f t="shared" si="182"/>
        <v>214.64000000000001</v>
      </c>
      <c r="CN197" s="63"/>
      <c r="CO197" s="63"/>
      <c r="CP197" s="51">
        <v>1940</v>
      </c>
      <c r="CQ197" s="62">
        <v>1990</v>
      </c>
      <c r="CR197" s="62">
        <v>2012</v>
      </c>
      <c r="CS197" s="103">
        <v>2013</v>
      </c>
      <c r="CT197" s="103">
        <v>2014</v>
      </c>
      <c r="CU197" s="106">
        <v>2015</v>
      </c>
    </row>
    <row r="198" spans="1:99" x14ac:dyDescent="0.2">
      <c r="A198" s="21"/>
      <c r="B198" s="21" t="s">
        <v>193</v>
      </c>
      <c r="C198" s="21" t="s">
        <v>36</v>
      </c>
      <c r="D198" s="21"/>
      <c r="E198" s="21"/>
      <c r="F198" s="21"/>
      <c r="G198" s="21"/>
      <c r="H198" s="21"/>
      <c r="I198" s="21"/>
      <c r="J198" s="21"/>
      <c r="K198" s="21"/>
      <c r="L198" s="21">
        <v>168</v>
      </c>
      <c r="M198" s="21">
        <v>26.1</v>
      </c>
      <c r="N198" s="24">
        <f t="shared" si="175"/>
        <v>0</v>
      </c>
      <c r="O198" s="21">
        <f t="shared" si="176"/>
        <v>0</v>
      </c>
      <c r="P198" s="21">
        <f t="shared" si="177"/>
        <v>0</v>
      </c>
      <c r="Q198" s="23">
        <f t="shared" si="158"/>
        <v>0</v>
      </c>
      <c r="R198" s="21">
        <f t="shared" si="178"/>
        <v>0</v>
      </c>
      <c r="S198" s="21">
        <f t="shared" si="179"/>
        <v>0</v>
      </c>
      <c r="T198" s="21">
        <f t="shared" si="180"/>
        <v>0</v>
      </c>
      <c r="U198" s="21">
        <f t="shared" si="181"/>
        <v>0</v>
      </c>
      <c r="V198" s="21">
        <f t="shared" si="182"/>
        <v>4384.8</v>
      </c>
      <c r="CN198" s="36">
        <v>1</v>
      </c>
      <c r="CO198" s="65" t="s">
        <v>266</v>
      </c>
      <c r="CQ198">
        <v>567</v>
      </c>
      <c r="CR198">
        <f>61+13+41+22+51</f>
        <v>188</v>
      </c>
      <c r="CS198">
        <f>56+13+39+17+58</f>
        <v>183</v>
      </c>
      <c r="CT198">
        <f>52+22+40+19+57+69</f>
        <v>259</v>
      </c>
    </row>
    <row r="199" spans="1:99" x14ac:dyDescent="0.2">
      <c r="A199" s="21"/>
      <c r="B199" s="21" t="s">
        <v>141</v>
      </c>
      <c r="C199" s="21" t="s">
        <v>15</v>
      </c>
      <c r="D199" s="21"/>
      <c r="E199" s="21"/>
      <c r="F199" s="21"/>
      <c r="G199" s="21"/>
      <c r="H199" s="21"/>
      <c r="I199" s="21"/>
      <c r="J199" s="21"/>
      <c r="K199" s="21"/>
      <c r="L199" s="21">
        <v>0.4</v>
      </c>
      <c r="M199" s="21">
        <v>536.6</v>
      </c>
      <c r="N199" s="24">
        <f t="shared" si="175"/>
        <v>0</v>
      </c>
      <c r="O199" s="21">
        <f t="shared" si="176"/>
        <v>0</v>
      </c>
      <c r="P199" s="21">
        <f t="shared" si="177"/>
        <v>0</v>
      </c>
      <c r="Q199" s="23">
        <f t="shared" si="158"/>
        <v>0</v>
      </c>
      <c r="R199" s="21">
        <f t="shared" si="178"/>
        <v>0</v>
      </c>
      <c r="S199" s="21">
        <f t="shared" si="179"/>
        <v>0</v>
      </c>
      <c r="T199" s="21">
        <f t="shared" si="180"/>
        <v>0</v>
      </c>
      <c r="U199" s="21">
        <f t="shared" si="181"/>
        <v>0</v>
      </c>
      <c r="V199" s="21">
        <f t="shared" si="182"/>
        <v>214.64000000000001</v>
      </c>
      <c r="CN199" s="36">
        <v>2</v>
      </c>
      <c r="CO199" s="65" t="s">
        <v>267</v>
      </c>
      <c r="CP199">
        <v>2</v>
      </c>
      <c r="CQ199">
        <v>52</v>
      </c>
      <c r="CR199">
        <f>20+7+20</f>
        <v>47</v>
      </c>
      <c r="CS199">
        <f>20+6+2+20</f>
        <v>48</v>
      </c>
      <c r="CT199">
        <f>22+5+8+18</f>
        <v>53</v>
      </c>
    </row>
    <row r="200" spans="1:99" x14ac:dyDescent="0.2">
      <c r="A200" s="21"/>
      <c r="B200" s="21" t="s">
        <v>31</v>
      </c>
      <c r="C200" s="21" t="s">
        <v>36</v>
      </c>
      <c r="D200" s="21"/>
      <c r="E200" s="21"/>
      <c r="F200" s="21"/>
      <c r="G200" s="21"/>
      <c r="H200" s="21"/>
      <c r="I200" s="21"/>
      <c r="J200" s="21"/>
      <c r="K200" s="21"/>
      <c r="L200" s="21">
        <v>716</v>
      </c>
      <c r="M200" s="21">
        <v>900</v>
      </c>
      <c r="N200" s="24">
        <f t="shared" si="175"/>
        <v>0</v>
      </c>
      <c r="O200" s="21">
        <f t="shared" si="176"/>
        <v>0</v>
      </c>
      <c r="P200" s="21">
        <f t="shared" si="177"/>
        <v>0</v>
      </c>
      <c r="Q200" s="23">
        <f t="shared" si="158"/>
        <v>0</v>
      </c>
      <c r="R200" s="21">
        <f t="shared" si="178"/>
        <v>0</v>
      </c>
      <c r="S200" s="21">
        <f t="shared" si="179"/>
        <v>0</v>
      </c>
      <c r="T200" s="21">
        <f t="shared" si="180"/>
        <v>0</v>
      </c>
      <c r="U200" s="21">
        <f t="shared" si="181"/>
        <v>0</v>
      </c>
      <c r="V200" s="21">
        <f t="shared" si="182"/>
        <v>644400</v>
      </c>
      <c r="CN200" s="36">
        <v>3</v>
      </c>
      <c r="CO200" s="65" t="s">
        <v>268</v>
      </c>
      <c r="CQ200">
        <f>144+162</f>
        <v>306</v>
      </c>
      <c r="CR200">
        <f>100+7+5+3+3+3+4+2+7+3+3+3+2+3+3+3+2+3+3+2+8+2+2+3+3+4+1+4+3</f>
        <v>194</v>
      </c>
      <c r="CS200">
        <f>7+60+5+2+3+3+4+8+2+4+3+3+3+2+2+2+2+24+3+2+8+1+3+5+3+2+4+3+2+5+6+2+3+2+2+3+2+4+5+6+1+1+3+2</f>
        <v>222</v>
      </c>
      <c r="CT200">
        <f>4+60+5+2+3+5+26+4+14+2+8+3+3+2+3+3+24+3+2+8+2+2+3+1+4+3+3+5+10+3+2+3+2+2+2+6+7.5+3+3+3+2+5+2+2+2+3+6+2+2+2+5+5+4+5+5+2+3</f>
        <v>310.5</v>
      </c>
    </row>
    <row r="201" spans="1:99" x14ac:dyDescent="0.2">
      <c r="A201" s="25"/>
      <c r="B201" s="25" t="s">
        <v>157</v>
      </c>
      <c r="C201" s="25" t="s">
        <v>3</v>
      </c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3">
        <f t="shared" si="158"/>
        <v>0</v>
      </c>
      <c r="R201" s="25"/>
      <c r="S201" s="25"/>
      <c r="T201" s="25"/>
      <c r="U201" s="25"/>
      <c r="V201" s="25"/>
      <c r="CN201" s="36">
        <v>4</v>
      </c>
      <c r="CO201" s="65" t="s">
        <v>262</v>
      </c>
      <c r="CQ201">
        <v>696</v>
      </c>
      <c r="CR201">
        <f>2+1</f>
        <v>3</v>
      </c>
      <c r="CS201">
        <f>2+1+4+8</f>
        <v>15</v>
      </c>
      <c r="CT201">
        <f>2+5+4+1+2+8+2+4</f>
        <v>28</v>
      </c>
    </row>
    <row r="202" spans="1:99" x14ac:dyDescent="0.2">
      <c r="A202" s="21" t="s">
        <v>194</v>
      </c>
      <c r="B202" s="21" t="s">
        <v>195</v>
      </c>
      <c r="C202" s="21" t="s">
        <v>30</v>
      </c>
      <c r="D202" s="21"/>
      <c r="E202" s="21"/>
      <c r="F202" s="21"/>
      <c r="G202" s="21"/>
      <c r="H202" s="21"/>
      <c r="I202" s="21"/>
      <c r="J202" s="21"/>
      <c r="K202" s="21"/>
      <c r="L202" s="21">
        <v>338.6</v>
      </c>
      <c r="M202" s="21">
        <v>60</v>
      </c>
      <c r="N202" s="24">
        <f>D202*M202</f>
        <v>0</v>
      </c>
      <c r="O202" s="21">
        <f>E202*M202</f>
        <v>0</v>
      </c>
      <c r="P202" s="21">
        <f>F202*M202</f>
        <v>0</v>
      </c>
      <c r="Q202" s="23">
        <f t="shared" si="158"/>
        <v>0</v>
      </c>
      <c r="R202" s="21">
        <f>H202*M202</f>
        <v>0</v>
      </c>
      <c r="S202" s="21">
        <f>I202*M202</f>
        <v>0</v>
      </c>
      <c r="T202" s="21">
        <f>J202*M202</f>
        <v>0</v>
      </c>
      <c r="U202" s="21">
        <f>K202*M202</f>
        <v>0</v>
      </c>
      <c r="V202" s="21">
        <f>L202*M202</f>
        <v>20316</v>
      </c>
      <c r="CN202" s="36">
        <v>5</v>
      </c>
      <c r="CO202" s="65" t="s">
        <v>269</v>
      </c>
      <c r="CP202">
        <v>3</v>
      </c>
      <c r="CQ202">
        <v>219</v>
      </c>
      <c r="CR202">
        <f>3+4+5+5+3+3+2+1+1+2+3+2+3</f>
        <v>37</v>
      </c>
      <c r="CS202">
        <f>2+2+1+3+1+2+2+9</f>
        <v>22</v>
      </c>
      <c r="CT202">
        <f>3+3+2+4+4+1</f>
        <v>17</v>
      </c>
    </row>
    <row r="203" spans="1:99" x14ac:dyDescent="0.2">
      <c r="A203" s="21" t="s">
        <v>197</v>
      </c>
      <c r="B203" s="21" t="s">
        <v>196</v>
      </c>
      <c r="C203" s="21" t="s">
        <v>9</v>
      </c>
      <c r="D203" s="21"/>
      <c r="E203" s="21"/>
      <c r="F203" s="21"/>
      <c r="G203" s="21"/>
      <c r="H203" s="21"/>
      <c r="I203" s="21"/>
      <c r="J203" s="21"/>
      <c r="K203" s="21"/>
      <c r="L203" s="21">
        <v>200</v>
      </c>
      <c r="M203" s="21">
        <v>1000</v>
      </c>
      <c r="N203" s="24">
        <f>D203*M203</f>
        <v>0</v>
      </c>
      <c r="O203" s="21">
        <f>E203*M203</f>
        <v>0</v>
      </c>
      <c r="P203" s="21">
        <f>F203*M203</f>
        <v>0</v>
      </c>
      <c r="Q203" s="23">
        <f t="shared" si="158"/>
        <v>0</v>
      </c>
      <c r="R203" s="21">
        <f>H203*M203</f>
        <v>0</v>
      </c>
      <c r="S203" s="21">
        <f>I203*M203</f>
        <v>0</v>
      </c>
      <c r="T203" s="21">
        <f>J203*M203</f>
        <v>0</v>
      </c>
      <c r="U203" s="21">
        <f>K203*M203</f>
        <v>0</v>
      </c>
      <c r="V203" s="21">
        <f>L203*M203</f>
        <v>200000</v>
      </c>
      <c r="CN203" s="36">
        <v>6</v>
      </c>
      <c r="CO203" s="65" t="s">
        <v>270</v>
      </c>
      <c r="CP203">
        <v>5</v>
      </c>
      <c r="CQ203">
        <v>340</v>
      </c>
      <c r="CR203">
        <f>42+6+25+6+8+27+3+1+11</f>
        <v>129</v>
      </c>
      <c r="CS203">
        <f>45+6+31+3+11+4+11+3+8+3+3</f>
        <v>128</v>
      </c>
      <c r="CT203">
        <f>45+5+7+3+17+3+3+6+8+10+2.2+3</f>
        <v>112.2</v>
      </c>
    </row>
    <row r="204" spans="1:99" x14ac:dyDescent="0.2">
      <c r="A204" s="21"/>
      <c r="B204" s="21" t="s">
        <v>198</v>
      </c>
      <c r="C204" s="21" t="s">
        <v>9</v>
      </c>
      <c r="D204" s="21"/>
      <c r="E204" s="21"/>
      <c r="F204" s="21"/>
      <c r="G204" s="21"/>
      <c r="H204" s="21"/>
      <c r="I204" s="21"/>
      <c r="J204" s="21"/>
      <c r="K204" s="21"/>
      <c r="L204" s="21"/>
      <c r="M204" s="21">
        <v>1000</v>
      </c>
      <c r="N204" s="24">
        <f>D204*M204</f>
        <v>0</v>
      </c>
      <c r="O204" s="21">
        <f>E204*M204</f>
        <v>0</v>
      </c>
      <c r="P204" s="21">
        <f>F204*M204</f>
        <v>0</v>
      </c>
      <c r="Q204" s="23">
        <f t="shared" si="158"/>
        <v>0</v>
      </c>
      <c r="R204" s="21">
        <f>H204*M204</f>
        <v>0</v>
      </c>
      <c r="S204" s="21">
        <f>I204*M204</f>
        <v>0</v>
      </c>
      <c r="T204" s="21">
        <f>J204*M204</f>
        <v>0</v>
      </c>
      <c r="U204" s="21">
        <f>K204*M204</f>
        <v>0</v>
      </c>
      <c r="V204" s="21">
        <f>L204*M204</f>
        <v>0</v>
      </c>
      <c r="CN204" s="36">
        <v>7</v>
      </c>
      <c r="CO204" s="65" t="s">
        <v>271</v>
      </c>
      <c r="CP204">
        <v>5</v>
      </c>
      <c r="CQ204">
        <v>100</v>
      </c>
      <c r="CR204">
        <f>24+6+1+20+2+1</f>
        <v>54</v>
      </c>
      <c r="CS204">
        <f>15+5+2+4+18+3+5+3+5+3</f>
        <v>63</v>
      </c>
      <c r="CT204">
        <f>23+5+2+21+3+5+3+3+3+4</f>
        <v>72</v>
      </c>
    </row>
    <row r="205" spans="1:99" x14ac:dyDescent="0.2">
      <c r="A205" s="25"/>
      <c r="B205" s="25" t="s">
        <v>157</v>
      </c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3">
        <f t="shared" si="158"/>
        <v>0</v>
      </c>
      <c r="R205" s="25"/>
      <c r="S205" s="25"/>
      <c r="T205" s="25"/>
      <c r="U205" s="25"/>
      <c r="V205" s="25"/>
      <c r="CN205" s="36">
        <v>8</v>
      </c>
      <c r="CO205" s="65" t="s">
        <v>272</v>
      </c>
      <c r="CR205">
        <f>6+6</f>
        <v>12</v>
      </c>
      <c r="CS205">
        <f>2+6+2</f>
        <v>10</v>
      </c>
      <c r="CT205">
        <f>6</f>
        <v>6</v>
      </c>
    </row>
    <row r="206" spans="1:99" x14ac:dyDescent="0.2">
      <c r="A206" s="21" t="s">
        <v>199</v>
      </c>
      <c r="B206" s="21" t="s">
        <v>196</v>
      </c>
      <c r="C206" s="21" t="s">
        <v>9</v>
      </c>
      <c r="D206" s="21"/>
      <c r="E206" s="21"/>
      <c r="F206" s="21"/>
      <c r="G206" s="21"/>
      <c r="H206" s="21"/>
      <c r="I206" s="21"/>
      <c r="J206" s="21"/>
      <c r="K206" s="21"/>
      <c r="L206" s="21">
        <v>100</v>
      </c>
      <c r="M206" s="21">
        <v>1000</v>
      </c>
      <c r="N206" s="24">
        <f>D206*M206</f>
        <v>0</v>
      </c>
      <c r="O206" s="21">
        <f>E206*M206</f>
        <v>0</v>
      </c>
      <c r="P206" s="21">
        <f>F206*M206</f>
        <v>0</v>
      </c>
      <c r="Q206" s="23">
        <f t="shared" si="158"/>
        <v>0</v>
      </c>
      <c r="R206" s="21">
        <f>H206*M206</f>
        <v>0</v>
      </c>
      <c r="S206" s="21">
        <f>I206*M206</f>
        <v>0</v>
      </c>
      <c r="T206" s="21">
        <f>J206*M206</f>
        <v>0</v>
      </c>
      <c r="U206" s="21">
        <f>K206*M206</f>
        <v>0</v>
      </c>
      <c r="V206" s="21">
        <f>L206*M206</f>
        <v>100000</v>
      </c>
      <c r="CN206" s="36">
        <v>9</v>
      </c>
      <c r="CO206" s="65" t="s">
        <v>273</v>
      </c>
      <c r="CQ206">
        <v>21</v>
      </c>
    </row>
    <row r="207" spans="1:99" x14ac:dyDescent="0.2">
      <c r="A207" s="21" t="s">
        <v>228</v>
      </c>
      <c r="B207" s="21" t="s">
        <v>4</v>
      </c>
      <c r="C207" s="21" t="s">
        <v>33</v>
      </c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>
        <f>SUM(N6:N206)</f>
        <v>4527612.7799999993</v>
      </c>
      <c r="O207" s="21">
        <f t="shared" ref="O207:V207" si="183">SUM(O6:O206)</f>
        <v>4591972.6000000006</v>
      </c>
      <c r="P207" s="21">
        <f t="shared" si="183"/>
        <v>2952083.9999999991</v>
      </c>
      <c r="Q207" s="21">
        <f t="shared" si="183"/>
        <v>3096112.4099999997</v>
      </c>
      <c r="R207" s="21">
        <f t="shared" si="183"/>
        <v>3009240.57</v>
      </c>
      <c r="S207" s="21">
        <f t="shared" si="183"/>
        <v>2607678.3399999994</v>
      </c>
      <c r="T207" s="21">
        <f t="shared" si="183"/>
        <v>3597837.8999999994</v>
      </c>
      <c r="U207" s="21">
        <f t="shared" si="183"/>
        <v>4190072.65</v>
      </c>
      <c r="V207" s="21">
        <f t="shared" si="183"/>
        <v>4692488.4400000013</v>
      </c>
      <c r="CN207" s="36">
        <v>10</v>
      </c>
      <c r="CO207" s="65" t="s">
        <v>274</v>
      </c>
      <c r="CR207">
        <v>66</v>
      </c>
      <c r="CS207">
        <f>5+3+5+3+8+6+4+5+8+5+4+3+2</f>
        <v>61</v>
      </c>
      <c r="CT207">
        <f>1+2+6+5+5+6+10+3+1</f>
        <v>39</v>
      </c>
    </row>
    <row r="208" spans="1:99" x14ac:dyDescent="0.2">
      <c r="A208" s="21" t="s">
        <v>229</v>
      </c>
      <c r="B208" s="21" t="s">
        <v>93</v>
      </c>
      <c r="C208" s="21" t="s">
        <v>9</v>
      </c>
      <c r="CN208" s="83" t="s">
        <v>318</v>
      </c>
      <c r="CO208" s="65" t="s">
        <v>317</v>
      </c>
      <c r="CP208">
        <f>SUM(CP198:CP207)</f>
        <v>15</v>
      </c>
      <c r="CQ208">
        <f>SUM(CQ198:CQ207)</f>
        <v>2301</v>
      </c>
      <c r="CR208">
        <f>SUM(CR198:CR207)</f>
        <v>730</v>
      </c>
      <c r="CS208">
        <f>SUM(CS198:CS207)</f>
        <v>752</v>
      </c>
      <c r="CT208">
        <f>SUM(CT198:CT207)</f>
        <v>896.7</v>
      </c>
    </row>
    <row r="209" spans="78:97" x14ac:dyDescent="0.2">
      <c r="CN209" s="36"/>
    </row>
    <row r="210" spans="78:97" x14ac:dyDescent="0.2">
      <c r="CN210" s="36"/>
      <c r="CO210" s="65" t="s">
        <v>276</v>
      </c>
    </row>
    <row r="211" spans="78:97" x14ac:dyDescent="0.2">
      <c r="BZ211" s="28" t="s">
        <v>316</v>
      </c>
      <c r="CN211" s="36"/>
      <c r="CO211" s="1"/>
      <c r="CP211">
        <v>1940</v>
      </c>
      <c r="CQ211">
        <v>1990</v>
      </c>
      <c r="CR211">
        <v>2014</v>
      </c>
      <c r="CS211" s="1">
        <v>2015</v>
      </c>
    </row>
    <row r="212" spans="78:97" x14ac:dyDescent="0.2">
      <c r="CN212" s="36">
        <v>1</v>
      </c>
      <c r="CO212" s="65" t="s">
        <v>266</v>
      </c>
      <c r="CQ212" s="4">
        <f>CQ198/CQ208*100</f>
        <v>24.641460234680572</v>
      </c>
      <c r="CR212" s="4">
        <v>28.9</v>
      </c>
      <c r="CS212" s="4"/>
    </row>
    <row r="213" spans="78:97" x14ac:dyDescent="0.2">
      <c r="CN213" s="36">
        <v>2</v>
      </c>
      <c r="CO213" s="65" t="s">
        <v>267</v>
      </c>
      <c r="CP213" s="4">
        <f>CP199/CP208*100</f>
        <v>13.333333333333334</v>
      </c>
      <c r="CQ213" s="4">
        <f>CQ199/CQ208*100</f>
        <v>2.2598870056497176</v>
      </c>
      <c r="CR213" s="4">
        <v>5.9</v>
      </c>
      <c r="CS213" s="4"/>
    </row>
    <row r="214" spans="78:97" x14ac:dyDescent="0.2">
      <c r="CN214" s="36">
        <v>3</v>
      </c>
      <c r="CO214" s="65" t="s">
        <v>268</v>
      </c>
      <c r="CQ214" s="4">
        <f>CQ200/CQ208*100</f>
        <v>13.298565840938723</v>
      </c>
      <c r="CR214" s="4">
        <v>34.6</v>
      </c>
      <c r="CS214" s="4"/>
    </row>
    <row r="215" spans="78:97" x14ac:dyDescent="0.2">
      <c r="CN215" s="36">
        <v>4</v>
      </c>
      <c r="CO215" s="65" t="s">
        <v>262</v>
      </c>
      <c r="CQ215" s="4">
        <f>CQ201/CQ208*100</f>
        <v>30.247718383311607</v>
      </c>
      <c r="CR215" s="4">
        <v>3.1</v>
      </c>
      <c r="CS215" s="4"/>
    </row>
    <row r="216" spans="78:97" x14ac:dyDescent="0.2">
      <c r="CN216" s="36">
        <v>5</v>
      </c>
      <c r="CO216" s="65" t="s">
        <v>269</v>
      </c>
      <c r="CP216">
        <f>CP202/CP208*100</f>
        <v>20</v>
      </c>
      <c r="CQ216" s="4">
        <f>CQ202/CQ208*100</f>
        <v>9.5176010430247722</v>
      </c>
      <c r="CR216" s="4">
        <v>1.9</v>
      </c>
      <c r="CS216" s="4"/>
    </row>
    <row r="217" spans="78:97" x14ac:dyDescent="0.2">
      <c r="CN217" s="36">
        <v>6</v>
      </c>
      <c r="CO217" s="65" t="s">
        <v>270</v>
      </c>
      <c r="CP217" s="4">
        <f>CP203/CP208*100</f>
        <v>33.333333333333329</v>
      </c>
      <c r="CQ217" s="4">
        <f>CQ203/CQ208*100</f>
        <v>14.776184267709692</v>
      </c>
      <c r="CR217" s="4">
        <v>12.5</v>
      </c>
      <c r="CS217" s="4"/>
    </row>
    <row r="218" spans="78:97" x14ac:dyDescent="0.2">
      <c r="CN218" s="36">
        <v>7</v>
      </c>
      <c r="CO218" s="65" t="s">
        <v>271</v>
      </c>
      <c r="CP218" s="4">
        <f>CP204/CP208*100</f>
        <v>33.333333333333329</v>
      </c>
      <c r="CQ218" s="4">
        <f>CQ204/CQ208*100</f>
        <v>4.34593654932638</v>
      </c>
      <c r="CR218" s="4">
        <v>8</v>
      </c>
      <c r="CS218" s="4"/>
    </row>
    <row r="219" spans="78:97" x14ac:dyDescent="0.2">
      <c r="CN219" s="36">
        <v>8</v>
      </c>
      <c r="CO219" s="65" t="s">
        <v>272</v>
      </c>
      <c r="CQ219">
        <f>CQ205/CQ208*100</f>
        <v>0</v>
      </c>
      <c r="CR219" s="4">
        <v>0.7</v>
      </c>
      <c r="CS219" s="4"/>
    </row>
    <row r="220" spans="78:97" x14ac:dyDescent="0.2">
      <c r="CN220" s="36">
        <v>9</v>
      </c>
      <c r="CO220" s="65" t="s">
        <v>273</v>
      </c>
      <c r="CQ220" s="4">
        <f>CQ206/CQ208*100</f>
        <v>0.91264667535853972</v>
      </c>
      <c r="CR220" s="4">
        <f>CR206/CR208*100</f>
        <v>0</v>
      </c>
      <c r="CS220" s="4"/>
    </row>
    <row r="221" spans="78:97" x14ac:dyDescent="0.2">
      <c r="CN221" s="36">
        <v>10</v>
      </c>
      <c r="CO221" s="65" t="s">
        <v>274</v>
      </c>
      <c r="CQ221">
        <f>CQ207/CQ208*100</f>
        <v>0</v>
      </c>
      <c r="CR221" s="4">
        <v>4.3</v>
      </c>
      <c r="CS221" s="4"/>
    </row>
    <row r="222" spans="78:97" x14ac:dyDescent="0.2">
      <c r="CN222" s="36"/>
      <c r="CO222" s="70"/>
    </row>
    <row r="223" spans="78:97" x14ac:dyDescent="0.2">
      <c r="CN223" s="36"/>
      <c r="CO223" s="65" t="s">
        <v>275</v>
      </c>
      <c r="CP223" s="4">
        <f>SUM(CP212:CP221)</f>
        <v>99.999999999999986</v>
      </c>
      <c r="CQ223" s="4">
        <f t="shared" ref="CQ223" si="184">SUM(CQ212:CQ221)</f>
        <v>100</v>
      </c>
      <c r="CR223" s="4">
        <v>100</v>
      </c>
      <c r="CS223" s="4"/>
    </row>
    <row r="232" spans="88:96" x14ac:dyDescent="0.2">
      <c r="CJ232" s="69"/>
    </row>
    <row r="235" spans="88:96" x14ac:dyDescent="0.2">
      <c r="CO235" s="162" t="s">
        <v>265</v>
      </c>
      <c r="CP235" s="162"/>
      <c r="CQ235" s="162"/>
      <c r="CR235" s="162"/>
    </row>
    <row r="236" spans="88:96" x14ac:dyDescent="0.2">
      <c r="CP236">
        <v>1940</v>
      </c>
      <c r="CQ236">
        <v>1990</v>
      </c>
      <c r="CR236">
        <v>2012</v>
      </c>
    </row>
    <row r="237" spans="88:96" x14ac:dyDescent="0.2">
      <c r="CO237" t="s">
        <v>255</v>
      </c>
      <c r="CP237">
        <v>83.8</v>
      </c>
      <c r="CQ237">
        <v>16229.3</v>
      </c>
      <c r="CR237">
        <v>4089.8</v>
      </c>
    </row>
    <row r="238" spans="88:96" x14ac:dyDescent="0.2">
      <c r="CO238" t="s">
        <v>254</v>
      </c>
      <c r="CP238">
        <v>15</v>
      </c>
      <c r="CQ238">
        <v>2301</v>
      </c>
      <c r="CR238">
        <v>730</v>
      </c>
    </row>
    <row r="239" spans="88:96" x14ac:dyDescent="0.2">
      <c r="CO239" t="s">
        <v>256</v>
      </c>
      <c r="CP239" s="40">
        <f>CP237/CP238</f>
        <v>5.5866666666666669</v>
      </c>
      <c r="CQ239" s="40">
        <f>CQ237/CQ238</f>
        <v>7.0531508039982613</v>
      </c>
      <c r="CR239" s="40">
        <f>CR237/CR238</f>
        <v>5.6024657534246574</v>
      </c>
    </row>
    <row r="240" spans="88:96" x14ac:dyDescent="0.2">
      <c r="CP240">
        <v>1940</v>
      </c>
      <c r="CQ240">
        <v>1990</v>
      </c>
      <c r="CR240">
        <v>2012</v>
      </c>
    </row>
    <row r="241" spans="93:96" x14ac:dyDescent="0.2">
      <c r="CO241" s="70" t="s">
        <v>265</v>
      </c>
      <c r="CP241" s="42">
        <v>5586</v>
      </c>
      <c r="CQ241" s="42">
        <v>7053</v>
      </c>
      <c r="CR241" s="42">
        <v>5602.5</v>
      </c>
    </row>
    <row r="274" spans="69:91" x14ac:dyDescent="0.2">
      <c r="BS274" s="35"/>
      <c r="BT274" s="35"/>
      <c r="BU274" s="35"/>
      <c r="BV274" s="35"/>
      <c r="BW274" s="35"/>
      <c r="BX274" s="35"/>
      <c r="BY274" s="35"/>
      <c r="BZ274" s="35"/>
      <c r="CA274" s="35"/>
      <c r="CB274" s="35"/>
      <c r="CC274" s="35"/>
      <c r="CD274" s="32"/>
    </row>
    <row r="275" spans="69:91" x14ac:dyDescent="0.2">
      <c r="BR275" s="43">
        <v>1940</v>
      </c>
      <c r="BS275" s="43">
        <v>1990</v>
      </c>
      <c r="BT275" s="43">
        <v>2010</v>
      </c>
      <c r="BU275" s="34" t="s">
        <v>257</v>
      </c>
      <c r="BV275" s="34"/>
      <c r="BW275" s="34" t="s">
        <v>258</v>
      </c>
      <c r="BX275" s="34"/>
      <c r="BY275" s="34"/>
      <c r="BZ275" s="34"/>
      <c r="CA275" s="34"/>
      <c r="CB275" s="34"/>
      <c r="CC275" s="34"/>
      <c r="CD275" s="34"/>
      <c r="CE275" s="34"/>
      <c r="CF275" s="34"/>
      <c r="CG275" s="34"/>
      <c r="CH275" s="34"/>
      <c r="CI275" s="34"/>
      <c r="CJ275" s="34"/>
      <c r="CK275" s="34"/>
      <c r="CL275" s="34"/>
      <c r="CM275" s="34"/>
    </row>
    <row r="276" spans="69:91" x14ac:dyDescent="0.2">
      <c r="BQ276" s="163" t="s">
        <v>250</v>
      </c>
      <c r="BR276" s="165">
        <v>0</v>
      </c>
      <c r="BS276" s="154">
        <v>9496.4</v>
      </c>
      <c r="BT276" s="154">
        <v>1145.3</v>
      </c>
      <c r="BU276" s="158"/>
      <c r="BV276" s="158"/>
      <c r="BX276" s="154"/>
      <c r="BY276" s="154"/>
      <c r="BZ276" s="154"/>
      <c r="CA276" s="154"/>
      <c r="CB276" s="154"/>
      <c r="CC276" s="154"/>
      <c r="CD276" s="154"/>
      <c r="CE276" s="154"/>
      <c r="CF276" s="154"/>
      <c r="CG276" s="154"/>
      <c r="CH276" s="154"/>
      <c r="CI276" s="50"/>
      <c r="CJ276" s="57"/>
      <c r="CK276" s="61"/>
      <c r="CL276" s="81"/>
      <c r="CM276" s="88"/>
    </row>
    <row r="277" spans="69:91" x14ac:dyDescent="0.2">
      <c r="BQ277" s="164"/>
      <c r="BR277" s="165"/>
      <c r="BS277" s="154"/>
      <c r="BT277" s="154"/>
      <c r="BU277" s="158"/>
      <c r="BV277" s="158"/>
      <c r="BW277">
        <f>BT276/BS276*100</f>
        <v>12.060359715260519</v>
      </c>
      <c r="BX277" s="154"/>
      <c r="BY277" s="154"/>
      <c r="BZ277" s="154"/>
      <c r="CA277" s="154"/>
      <c r="CB277" s="154"/>
      <c r="CC277" s="154"/>
      <c r="CD277" s="154"/>
      <c r="CE277" s="154"/>
      <c r="CF277" s="154"/>
      <c r="CG277" s="154"/>
      <c r="CH277" s="154"/>
      <c r="CI277" s="50"/>
      <c r="CJ277" s="57"/>
      <c r="CK277" s="61"/>
      <c r="CL277" s="81"/>
      <c r="CM277" s="88"/>
    </row>
    <row r="278" spans="69:91" x14ac:dyDescent="0.2">
      <c r="BQ278" t="s">
        <v>237</v>
      </c>
      <c r="BR278" s="31">
        <v>0</v>
      </c>
      <c r="BS278" s="1">
        <v>1467.9</v>
      </c>
      <c r="BT278" s="1">
        <v>696.7</v>
      </c>
      <c r="BU278" s="1"/>
      <c r="BV278" s="1"/>
      <c r="BW278">
        <f>BT278/BS278*100</f>
        <v>47.462361196266777</v>
      </c>
      <c r="BX278" s="19"/>
      <c r="BY278" s="1"/>
      <c r="BZ278" s="19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</row>
    <row r="279" spans="69:91" x14ac:dyDescent="0.2">
      <c r="BQ279" t="s">
        <v>238</v>
      </c>
      <c r="BR279" s="31">
        <v>83.8</v>
      </c>
      <c r="BS279" s="44">
        <v>5265.0000000000009</v>
      </c>
      <c r="BT279" s="19">
        <v>3943</v>
      </c>
      <c r="BU279" s="19">
        <f>BT279/BR279*100</f>
        <v>4705.2505966587114</v>
      </c>
      <c r="BV279" s="19"/>
      <c r="BW279">
        <f>BT279/BS279*100</f>
        <v>74.890788224121536</v>
      </c>
      <c r="BX279" s="1"/>
      <c r="BY279" s="1"/>
      <c r="BZ279" s="19"/>
      <c r="CA279" s="19"/>
      <c r="CB279" s="1"/>
      <c r="CC279" s="1"/>
      <c r="CD279" s="1"/>
      <c r="CE279" s="1"/>
      <c r="CF279" s="1"/>
      <c r="CG279" s="1"/>
      <c r="CH279" s="19"/>
      <c r="CI279" s="19"/>
      <c r="CJ279" s="19"/>
      <c r="CK279" s="19"/>
      <c r="CL279" s="19"/>
      <c r="CM279" s="19"/>
    </row>
    <row r="280" spans="69:91" x14ac:dyDescent="0.2">
      <c r="BQ280" s="1" t="s">
        <v>240</v>
      </c>
      <c r="BR280" s="41">
        <v>83.8</v>
      </c>
      <c r="BS280" s="42">
        <v>16229.300000000001</v>
      </c>
      <c r="BT280" s="19">
        <v>5785</v>
      </c>
      <c r="BU280" s="19"/>
      <c r="BV280" s="19"/>
      <c r="BX280" s="19"/>
      <c r="BY280" s="19"/>
      <c r="BZ280" s="19"/>
      <c r="CA280" s="19"/>
      <c r="CB280" s="19"/>
      <c r="CC280" s="19"/>
      <c r="CD280" s="19"/>
      <c r="CE280" s="19"/>
      <c r="CF280" s="19"/>
      <c r="CG280" s="19"/>
      <c r="CH280" s="19"/>
      <c r="CI280" s="19"/>
      <c r="CJ280" s="19"/>
      <c r="CK280" s="19"/>
      <c r="CL280" s="19"/>
      <c r="CM280" s="19"/>
    </row>
    <row r="283" spans="69:91" x14ac:dyDescent="0.2">
      <c r="BS283" s="35" t="s">
        <v>239</v>
      </c>
      <c r="BT283" s="35"/>
      <c r="BU283" s="35"/>
      <c r="BV283" s="35"/>
      <c r="BW283" s="35"/>
      <c r="BX283" s="35"/>
      <c r="BY283" s="35"/>
      <c r="BZ283" s="35"/>
      <c r="CA283" s="35"/>
      <c r="CB283" s="35"/>
      <c r="CC283" s="35"/>
      <c r="CD283" s="32"/>
    </row>
    <row r="284" spans="69:91" x14ac:dyDescent="0.2">
      <c r="BQ284" s="46"/>
      <c r="BR284" s="34">
        <v>1940</v>
      </c>
      <c r="BS284" s="34">
        <v>1950</v>
      </c>
      <c r="BT284" s="34">
        <v>1960</v>
      </c>
      <c r="BU284" s="34">
        <v>1970</v>
      </c>
      <c r="BV284" s="34">
        <v>1980</v>
      </c>
      <c r="BW284" s="34">
        <v>1990</v>
      </c>
      <c r="BX284" s="34">
        <v>2000</v>
      </c>
      <c r="BY284" s="34">
        <v>2001</v>
      </c>
      <c r="BZ284" s="34">
        <v>2002</v>
      </c>
      <c r="CA284" s="34">
        <v>2003</v>
      </c>
      <c r="CB284" s="34">
        <v>2004</v>
      </c>
      <c r="CC284" s="34">
        <v>2005</v>
      </c>
      <c r="CD284" s="34">
        <v>2006</v>
      </c>
      <c r="CE284" s="34">
        <v>2007</v>
      </c>
      <c r="CF284" s="34">
        <v>2008</v>
      </c>
      <c r="CG284" s="34">
        <v>2009</v>
      </c>
      <c r="CH284" s="34">
        <v>2010</v>
      </c>
      <c r="CI284" s="34">
        <v>2011</v>
      </c>
      <c r="CJ284" s="34">
        <v>2012</v>
      </c>
      <c r="CK284" s="34">
        <v>2013</v>
      </c>
      <c r="CL284" s="34"/>
      <c r="CM284" s="34"/>
    </row>
    <row r="285" spans="69:91" x14ac:dyDescent="0.2">
      <c r="BR285" s="37"/>
      <c r="BS285" s="37"/>
      <c r="BT285" s="37"/>
      <c r="BU285" s="38"/>
      <c r="BV285" s="38"/>
      <c r="BW285" s="37"/>
      <c r="BX285" s="37"/>
      <c r="BY285" s="37"/>
      <c r="BZ285" s="37"/>
      <c r="CA285" s="37"/>
      <c r="CB285" s="37"/>
      <c r="CC285" s="37"/>
      <c r="CD285" s="37"/>
      <c r="CE285" s="37"/>
      <c r="CF285" s="37"/>
      <c r="CG285" s="37"/>
      <c r="CH285" s="37"/>
      <c r="CI285" s="37"/>
      <c r="CJ285" s="37"/>
      <c r="CK285" s="37"/>
      <c r="CL285" s="37"/>
      <c r="CM285" s="37"/>
    </row>
    <row r="286" spans="69:91" ht="25.5" x14ac:dyDescent="0.2">
      <c r="BQ286" s="45" t="s">
        <v>250</v>
      </c>
      <c r="BR286" s="52">
        <v>0</v>
      </c>
      <c r="BS286" s="52">
        <v>0</v>
      </c>
      <c r="BT286" s="52">
        <v>83.7</v>
      </c>
      <c r="BU286" s="53">
        <v>1023.6</v>
      </c>
      <c r="BV286" s="53">
        <v>2549.1999999999998</v>
      </c>
      <c r="BW286" s="52">
        <v>9496.4</v>
      </c>
      <c r="BX286" s="37">
        <v>741.30000000000007</v>
      </c>
      <c r="BY286" s="37">
        <v>810.40000000000009</v>
      </c>
      <c r="BZ286" s="37">
        <v>857.3</v>
      </c>
      <c r="CA286" s="37">
        <v>921.5</v>
      </c>
      <c r="CB286" s="37">
        <v>912.7</v>
      </c>
      <c r="CC286" s="37">
        <v>830.6</v>
      </c>
      <c r="CD286" s="37">
        <v>876.5</v>
      </c>
      <c r="CE286" s="37">
        <v>981.5</v>
      </c>
      <c r="CF286" s="37">
        <v>945.5</v>
      </c>
      <c r="CG286" s="37">
        <v>1010.9</v>
      </c>
      <c r="CH286" s="37">
        <v>1145.3</v>
      </c>
      <c r="CI286" s="37">
        <v>1124.4000000000001</v>
      </c>
      <c r="CJ286" s="37">
        <v>1553.5</v>
      </c>
      <c r="CK286" s="37">
        <v>1680.7</v>
      </c>
      <c r="CL286" s="37"/>
      <c r="CM286" s="37"/>
    </row>
    <row r="287" spans="69:91" x14ac:dyDescent="0.2">
      <c r="BQ287" t="s">
        <v>237</v>
      </c>
      <c r="BR287" s="54">
        <v>0</v>
      </c>
      <c r="BS287" s="54">
        <v>0</v>
      </c>
      <c r="BT287" s="54">
        <v>68.900000000000006</v>
      </c>
      <c r="BU287" s="54">
        <v>162.6</v>
      </c>
      <c r="BV287" s="54">
        <v>525.79999999999995</v>
      </c>
      <c r="BW287" s="54">
        <v>1467.9</v>
      </c>
      <c r="BX287" s="19">
        <v>3275.2</v>
      </c>
      <c r="BY287" s="1">
        <v>2788.3</v>
      </c>
      <c r="BZ287" s="19">
        <v>1069.0999999999999</v>
      </c>
      <c r="CA287" s="1">
        <v>1313.6</v>
      </c>
      <c r="CB287" s="1">
        <v>1124.9000000000001</v>
      </c>
      <c r="CC287" s="1">
        <v>828.90000000000009</v>
      </c>
      <c r="CD287" s="1">
        <v>692.8</v>
      </c>
      <c r="CE287" s="1">
        <v>769.59999999999991</v>
      </c>
      <c r="CF287" s="1">
        <v>633.79999999999995</v>
      </c>
      <c r="CG287" s="1">
        <v>680.40000000000009</v>
      </c>
      <c r="CH287" s="1">
        <v>696.7</v>
      </c>
      <c r="CI287" s="1">
        <v>624.4</v>
      </c>
      <c r="CJ287" s="1">
        <v>346</v>
      </c>
      <c r="CK287" s="1">
        <v>481.7</v>
      </c>
      <c r="CL287" s="1"/>
      <c r="CM287" s="1"/>
    </row>
    <row r="288" spans="69:91" x14ac:dyDescent="0.2">
      <c r="BQ288" t="s">
        <v>238</v>
      </c>
      <c r="BR288" s="54">
        <v>83.8</v>
      </c>
      <c r="BS288" s="55">
        <v>405.99999999999994</v>
      </c>
      <c r="BT288" s="55">
        <v>1286.6000000000001</v>
      </c>
      <c r="BU288" s="55">
        <v>1399.9</v>
      </c>
      <c r="BV288" s="55">
        <v>3049.4</v>
      </c>
      <c r="BW288" s="55">
        <v>5265.0000000000009</v>
      </c>
      <c r="BX288" s="1">
        <v>510.9</v>
      </c>
      <c r="BY288" s="1">
        <v>993.30000000000007</v>
      </c>
      <c r="BZ288" s="19">
        <v>1025.3</v>
      </c>
      <c r="CA288" s="19">
        <v>860.99999999999989</v>
      </c>
      <c r="CB288" s="1">
        <v>996.6</v>
      </c>
      <c r="CC288" s="1">
        <v>938.69999999999993</v>
      </c>
      <c r="CD288" s="1">
        <v>1889.8999999999999</v>
      </c>
      <c r="CE288" s="1">
        <v>2401.8999999999996</v>
      </c>
      <c r="CF288" s="1">
        <v>2409.7000000000003</v>
      </c>
      <c r="CG288" s="1">
        <v>3340.6</v>
      </c>
      <c r="CH288" s="19">
        <v>3943</v>
      </c>
      <c r="CI288" s="19">
        <v>4348.8999999999996</v>
      </c>
      <c r="CJ288" s="19">
        <v>2190.3000000000002</v>
      </c>
      <c r="CK288" s="19">
        <v>2016.1</v>
      </c>
      <c r="CL288" s="19"/>
      <c r="CM288" s="19"/>
    </row>
    <row r="289" spans="69:91" x14ac:dyDescent="0.2">
      <c r="BQ289" s="1" t="s">
        <v>240</v>
      </c>
      <c r="BR289" s="55">
        <v>83.8</v>
      </c>
      <c r="BS289" s="55">
        <v>405.99999999999994</v>
      </c>
      <c r="BT289" s="55">
        <v>1439.2000000000003</v>
      </c>
      <c r="BU289" s="55">
        <v>2586.1</v>
      </c>
      <c r="BV289" s="55">
        <v>6124.4</v>
      </c>
      <c r="BW289" s="55">
        <v>16229.300000000001</v>
      </c>
      <c r="BX289" s="19">
        <v>4527.3999999999996</v>
      </c>
      <c r="BY289" s="19">
        <v>4592</v>
      </c>
      <c r="BZ289" s="19">
        <v>2951.7</v>
      </c>
      <c r="CA289" s="19">
        <v>3096.1</v>
      </c>
      <c r="CB289" s="19">
        <v>3034.2</v>
      </c>
      <c r="CC289" s="19">
        <v>2598.1999999999998</v>
      </c>
      <c r="CD289" s="19">
        <v>3459.2</v>
      </c>
      <c r="CE289" s="19">
        <v>4153</v>
      </c>
      <c r="CF289" s="19">
        <v>3989</v>
      </c>
      <c r="CG289" s="19">
        <v>5031.8999999999996</v>
      </c>
      <c r="CH289" s="19">
        <v>5785</v>
      </c>
      <c r="CI289" s="19">
        <f>SUM(CI286:CI288)</f>
        <v>6097.7</v>
      </c>
      <c r="CJ289" s="19">
        <v>4089.8</v>
      </c>
      <c r="CK289" s="19">
        <v>4178.5</v>
      </c>
      <c r="CL289" s="19"/>
      <c r="CM289" s="19"/>
    </row>
    <row r="290" spans="69:91" x14ac:dyDescent="0.2">
      <c r="CH290" s="34">
        <v>2010</v>
      </c>
      <c r="CI290" s="34"/>
      <c r="CJ290" s="34"/>
      <c r="CK290" s="34"/>
      <c r="CL290" s="34"/>
      <c r="CM290" s="34"/>
    </row>
    <row r="291" spans="69:91" x14ac:dyDescent="0.2">
      <c r="BQ291" s="161" t="s">
        <v>308</v>
      </c>
      <c r="BR291" s="146"/>
      <c r="BS291" s="146"/>
      <c r="BT291" s="146"/>
      <c r="BU291" s="146"/>
      <c r="BV291" s="146"/>
      <c r="BW291" s="146"/>
      <c r="BX291" s="146"/>
      <c r="BY291" s="146"/>
      <c r="BZ291" s="146"/>
      <c r="CA291" s="146"/>
      <c r="CH291">
        <f>CH286/CH286*100</f>
        <v>100</v>
      </c>
    </row>
    <row r="292" spans="69:91" x14ac:dyDescent="0.2">
      <c r="BR292" s="49">
        <v>2012</v>
      </c>
      <c r="BS292" s="49">
        <v>2012</v>
      </c>
      <c r="BT292" s="49">
        <v>2012</v>
      </c>
      <c r="BU292" s="49">
        <v>2012</v>
      </c>
      <c r="BV292" s="49">
        <v>2012</v>
      </c>
      <c r="BW292" s="49">
        <v>2012</v>
      </c>
      <c r="BX292" s="49">
        <v>2012</v>
      </c>
      <c r="BY292" s="49">
        <v>2012</v>
      </c>
      <c r="BZ292" s="49">
        <v>2012</v>
      </c>
      <c r="CA292" s="49">
        <v>2012</v>
      </c>
      <c r="CB292" s="56">
        <v>2012</v>
      </c>
      <c r="CC292" s="56">
        <v>2012</v>
      </c>
      <c r="CD292" s="56">
        <v>2013</v>
      </c>
      <c r="CH292">
        <f t="shared" ref="CH292:CH294" si="185">CH287/CH287*100</f>
        <v>100</v>
      </c>
    </row>
    <row r="293" spans="69:91" x14ac:dyDescent="0.2">
      <c r="BR293" s="47">
        <v>2000</v>
      </c>
      <c r="BS293" s="47">
        <v>2001</v>
      </c>
      <c r="BT293" s="47">
        <v>2002</v>
      </c>
      <c r="BU293" s="48">
        <v>2003</v>
      </c>
      <c r="BV293" s="48">
        <v>2004</v>
      </c>
      <c r="BW293" s="47">
        <v>2005</v>
      </c>
      <c r="BX293" s="47">
        <v>2006</v>
      </c>
      <c r="BY293" s="47">
        <v>2007</v>
      </c>
      <c r="BZ293" s="48">
        <v>2008</v>
      </c>
      <c r="CA293" s="47">
        <v>2009</v>
      </c>
      <c r="CB293" s="47">
        <v>2010</v>
      </c>
      <c r="CC293" s="47">
        <v>2011</v>
      </c>
      <c r="CD293" s="47">
        <v>2012</v>
      </c>
      <c r="CH293">
        <f t="shared" si="185"/>
        <v>100</v>
      </c>
    </row>
    <row r="294" spans="69:91" ht="25.5" x14ac:dyDescent="0.2">
      <c r="BQ294" s="45" t="s">
        <v>266</v>
      </c>
      <c r="BR294" s="4">
        <f>CJ286/BX286*100</f>
        <v>209.56427896937808</v>
      </c>
      <c r="BS294" s="4">
        <f>CJ286/BY286*100</f>
        <v>191.69545903257648</v>
      </c>
      <c r="BT294" s="4">
        <f>CJ286/BZ286*100</f>
        <v>181.20844511839499</v>
      </c>
      <c r="BU294" s="4">
        <f>CJ286/CA286*100</f>
        <v>168.5838307107976</v>
      </c>
      <c r="BV294" s="4">
        <f>CJ286/CB286*100</f>
        <v>170.20926920127096</v>
      </c>
      <c r="BW294" s="4">
        <f>CJ286/CC286*100</f>
        <v>187.03346978088129</v>
      </c>
      <c r="BX294" s="4">
        <f>CJ286/CD286*100</f>
        <v>177.23901882487166</v>
      </c>
      <c r="BY294" s="4">
        <f>CJ286/CE286*100</f>
        <v>158.27814569536426</v>
      </c>
      <c r="BZ294" s="4">
        <f>CJ286/CF286*100</f>
        <v>164.30460074034903</v>
      </c>
      <c r="CA294" s="4">
        <f>CJ286/CG286*100</f>
        <v>153.67494311999209</v>
      </c>
      <c r="CB294" s="4">
        <f>CJ286/CH286*100</f>
        <v>135.64131668558457</v>
      </c>
      <c r="CC294" s="4">
        <f>CJ286/CI286*100</f>
        <v>138.16257559587336</v>
      </c>
      <c r="CD294" s="4">
        <f>CK286/CJ286*100</f>
        <v>108.18796266495012</v>
      </c>
      <c r="CH294">
        <f t="shared" si="185"/>
        <v>100</v>
      </c>
    </row>
    <row r="295" spans="69:91" x14ac:dyDescent="0.2">
      <c r="BQ295" s="28" t="s">
        <v>309</v>
      </c>
      <c r="BR295" s="4">
        <f>CJ287/BX287*100</f>
        <v>10.564240351734245</v>
      </c>
      <c r="BS295" s="4">
        <f>CJ287/BY287*100</f>
        <v>12.408994727970448</v>
      </c>
      <c r="BT295" s="4">
        <f t="shared" ref="BT295:BT297" si="186">CJ287/BZ287*100</f>
        <v>32.363670376952584</v>
      </c>
      <c r="BU295" s="4">
        <f t="shared" ref="BU295:BU297" si="187">CJ287/CA287*100</f>
        <v>26.339829476248479</v>
      </c>
      <c r="BV295" s="4">
        <f t="shared" ref="BV295:BV297" si="188">CJ287/CB287*100</f>
        <v>30.758289625744506</v>
      </c>
      <c r="BW295" s="4">
        <f t="shared" ref="BW295:BW297" si="189">CJ287/CC287*100</f>
        <v>41.742067800699715</v>
      </c>
      <c r="BX295" s="4">
        <f t="shared" ref="BX295:BX297" si="190">CJ287/CD287*100</f>
        <v>49.942263279445733</v>
      </c>
      <c r="BY295" s="4">
        <f t="shared" ref="BY295:BY297" si="191">CJ287/CE287*100</f>
        <v>44.958419958419967</v>
      </c>
      <c r="BZ295" s="4">
        <f t="shared" ref="BZ295:BZ297" si="192">CJ287/CF287*100</f>
        <v>54.591353739349955</v>
      </c>
      <c r="CA295" s="4">
        <f t="shared" ref="CA295:CA297" si="193">CJ287/CG287*100</f>
        <v>50.852439741328624</v>
      </c>
      <c r="CB295" s="4">
        <f t="shared" ref="CB295:CB297" si="194">CJ287/CH287*100</f>
        <v>49.66269556480551</v>
      </c>
      <c r="CC295" s="4">
        <f t="shared" ref="CC295:CC297" si="195">CJ287/CI287*100</f>
        <v>55.413196668802058</v>
      </c>
      <c r="CD295" s="4">
        <f t="shared" ref="CD295:CD297" si="196">CK287/CJ287*100</f>
        <v>139.21965317919074</v>
      </c>
    </row>
    <row r="296" spans="69:91" x14ac:dyDescent="0.2">
      <c r="BQ296" s="28" t="s">
        <v>282</v>
      </c>
      <c r="BR296" s="4">
        <f>CJ288/BX288*100</f>
        <v>428.71403405754558</v>
      </c>
      <c r="BS296" s="4">
        <f t="shared" ref="BS296" si="197">CJ288/BY288*100</f>
        <v>220.50739957716701</v>
      </c>
      <c r="BT296" s="4">
        <f t="shared" si="186"/>
        <v>213.62528040573494</v>
      </c>
      <c r="BU296" s="4">
        <f t="shared" si="187"/>
        <v>254.39024390243907</v>
      </c>
      <c r="BV296" s="4">
        <f t="shared" si="188"/>
        <v>219.77724262492475</v>
      </c>
      <c r="BW296" s="4">
        <f t="shared" si="189"/>
        <v>233.33333333333334</v>
      </c>
      <c r="BX296" s="4">
        <f t="shared" si="190"/>
        <v>115.89502090057677</v>
      </c>
      <c r="BY296" s="4">
        <f t="shared" si="191"/>
        <v>91.19030767309215</v>
      </c>
      <c r="BZ296" s="4">
        <f t="shared" si="192"/>
        <v>90.895132174129557</v>
      </c>
      <c r="CA296" s="4">
        <f t="shared" si="193"/>
        <v>65.566065976171956</v>
      </c>
      <c r="CB296" s="4">
        <f t="shared" si="194"/>
        <v>55.549074308901858</v>
      </c>
      <c r="CC296" s="4">
        <f t="shared" si="195"/>
        <v>50.364459978385348</v>
      </c>
      <c r="CD296" s="4">
        <f t="shared" si="196"/>
        <v>92.046751586540637</v>
      </c>
    </row>
    <row r="297" spans="69:91" x14ac:dyDescent="0.2">
      <c r="BQ297" s="1" t="s">
        <v>310</v>
      </c>
      <c r="BR297" s="4">
        <f>CH289/BX289*100</f>
        <v>127.77753235852809</v>
      </c>
      <c r="BS297" s="4">
        <f>CJ289/BY289*100</f>
        <v>89.063588850174227</v>
      </c>
      <c r="BT297" s="4">
        <f t="shared" si="186"/>
        <v>138.55744147440458</v>
      </c>
      <c r="BU297" s="4">
        <f t="shared" si="187"/>
        <v>132.09521656277252</v>
      </c>
      <c r="BV297" s="4">
        <f t="shared" si="188"/>
        <v>134.79005998286203</v>
      </c>
      <c r="BW297" s="4">
        <f t="shared" si="189"/>
        <v>157.40897544453853</v>
      </c>
      <c r="BX297" s="4">
        <f t="shared" si="190"/>
        <v>118.22964847363554</v>
      </c>
      <c r="BY297" s="4">
        <f t="shared" si="191"/>
        <v>98.478208523958585</v>
      </c>
      <c r="BZ297" s="4">
        <f t="shared" si="192"/>
        <v>102.52694911005264</v>
      </c>
      <c r="CA297" s="4">
        <f t="shared" si="193"/>
        <v>81.277449869830491</v>
      </c>
      <c r="CB297" s="4">
        <f t="shared" si="194"/>
        <v>70.696629213483149</v>
      </c>
      <c r="CC297" s="4">
        <f t="shared" si="195"/>
        <v>67.071190776850301</v>
      </c>
      <c r="CD297">
        <f t="shared" si="196"/>
        <v>102.16881021076824</v>
      </c>
    </row>
  </sheetData>
  <mergeCells count="210">
    <mergeCell ref="BC3:BC4"/>
    <mergeCell ref="AV38:AV39"/>
    <mergeCell ref="BW81:BW82"/>
    <mergeCell ref="BX81:BX82"/>
    <mergeCell ref="BR6:CM6"/>
    <mergeCell ref="BA3:BA4"/>
    <mergeCell ref="CP6:DJ6"/>
    <mergeCell ref="AM2:BG2"/>
    <mergeCell ref="AU3:AU4"/>
    <mergeCell ref="AV3:AV4"/>
    <mergeCell ref="AW3:AW4"/>
    <mergeCell ref="AX3:AX4"/>
    <mergeCell ref="AM37:BD37"/>
    <mergeCell ref="BD3:BD4"/>
    <mergeCell ref="BF3:BF4"/>
    <mergeCell ref="BE3:BE4"/>
    <mergeCell ref="BP6:BP7"/>
    <mergeCell ref="BG3:BG4"/>
    <mergeCell ref="AV69:AV70"/>
    <mergeCell ref="AW69:AW70"/>
    <mergeCell ref="AX69:AX70"/>
    <mergeCell ref="AU69:AU70"/>
    <mergeCell ref="BC83:BC84"/>
    <mergeCell ref="BD83:BD84"/>
    <mergeCell ref="BE83:BE84"/>
    <mergeCell ref="BA69:BA70"/>
    <mergeCell ref="AY69:AY70"/>
    <mergeCell ref="AZ69:AZ70"/>
    <mergeCell ref="AS83:AS84"/>
    <mergeCell ref="AP38:AP39"/>
    <mergeCell ref="AQ38:AQ39"/>
    <mergeCell ref="AR38:AR39"/>
    <mergeCell ref="AS38:AS39"/>
    <mergeCell ref="AV83:AV84"/>
    <mergeCell ref="AW83:AW84"/>
    <mergeCell ref="CJ90:CJ91"/>
    <mergeCell ref="CO106:CO107"/>
    <mergeCell ref="AY38:AY39"/>
    <mergeCell ref="AZ38:AZ39"/>
    <mergeCell ref="AX38:AX39"/>
    <mergeCell ref="AU38:AU39"/>
    <mergeCell ref="BC38:BC39"/>
    <mergeCell ref="BD38:BD39"/>
    <mergeCell ref="AS90:AS91"/>
    <mergeCell ref="AX90:AX91"/>
    <mergeCell ref="AY90:AY91"/>
    <mergeCell ref="AZ90:AZ91"/>
    <mergeCell ref="BA90:BA91"/>
    <mergeCell ref="AT90:AT91"/>
    <mergeCell ref="AU90:AU91"/>
    <mergeCell ref="AV90:AV91"/>
    <mergeCell ref="AW90:AW91"/>
    <mergeCell ref="CI81:CI82"/>
    <mergeCell ref="CI90:CI91"/>
    <mergeCell ref="AT83:AT84"/>
    <mergeCell ref="AY83:AY84"/>
    <mergeCell ref="AZ83:AZ84"/>
    <mergeCell ref="BF83:BF84"/>
    <mergeCell ref="AX83:AX84"/>
    <mergeCell ref="CO111:CO112"/>
    <mergeCell ref="CP111:CP112"/>
    <mergeCell ref="CO100:CO101"/>
    <mergeCell ref="AZ3:AZ4"/>
    <mergeCell ref="CO6:CO7"/>
    <mergeCell ref="CN6:CN7"/>
    <mergeCell ref="BZ81:BZ82"/>
    <mergeCell ref="CA81:CA82"/>
    <mergeCell ref="CB81:CB82"/>
    <mergeCell ref="CC81:CC82"/>
    <mergeCell ref="CG81:CG82"/>
    <mergeCell ref="CH81:CH82"/>
    <mergeCell ref="BQ6:BQ7"/>
    <mergeCell ref="BQ81:BQ82"/>
    <mergeCell ref="BR81:BR82"/>
    <mergeCell ref="BS81:BS82"/>
    <mergeCell ref="BT81:BT82"/>
    <mergeCell ref="BU81:BU82"/>
    <mergeCell ref="BV81:BV82"/>
    <mergeCell ref="BY81:BY82"/>
    <mergeCell ref="CD81:CD82"/>
    <mergeCell ref="CE81:CE82"/>
    <mergeCell ref="BB3:BB4"/>
    <mergeCell ref="BB38:BB39"/>
    <mergeCell ref="AM90:AM91"/>
    <mergeCell ref="AN90:AN91"/>
    <mergeCell ref="AO90:AO91"/>
    <mergeCell ref="AP90:AP91"/>
    <mergeCell ref="AQ90:AQ91"/>
    <mergeCell ref="AR90:AR91"/>
    <mergeCell ref="AR83:AR84"/>
    <mergeCell ref="AM83:AM84"/>
    <mergeCell ref="AN83:AN84"/>
    <mergeCell ref="AO83:AO84"/>
    <mergeCell ref="AP83:AP84"/>
    <mergeCell ref="AQ83:AQ84"/>
    <mergeCell ref="A1:A4"/>
    <mergeCell ref="B1:B4"/>
    <mergeCell ref="C1:C4"/>
    <mergeCell ref="M1:M4"/>
    <mergeCell ref="D2:D4"/>
    <mergeCell ref="AM3:AM4"/>
    <mergeCell ref="AN3:AN4"/>
    <mergeCell ref="AO3:AO4"/>
    <mergeCell ref="AP3:AP4"/>
    <mergeCell ref="N2:N4"/>
    <mergeCell ref="AD3:AD4"/>
    <mergeCell ref="S2:S4"/>
    <mergeCell ref="T2:T4"/>
    <mergeCell ref="Y2:Y4"/>
    <mergeCell ref="Z2:Z4"/>
    <mergeCell ref="K2:K4"/>
    <mergeCell ref="D1:L1"/>
    <mergeCell ref="N1:V1"/>
    <mergeCell ref="E2:E4"/>
    <mergeCell ref="F2:F4"/>
    <mergeCell ref="G2:G4"/>
    <mergeCell ref="H2:H4"/>
    <mergeCell ref="I2:I4"/>
    <mergeCell ref="J2:J4"/>
    <mergeCell ref="AO38:AO39"/>
    <mergeCell ref="BA38:BA39"/>
    <mergeCell ref="AT38:AT39"/>
    <mergeCell ref="L2:L4"/>
    <mergeCell ref="O2:O4"/>
    <mergeCell ref="P2:P4"/>
    <mergeCell ref="AI3:AI4"/>
    <mergeCell ref="AA2:AI2"/>
    <mergeCell ref="AE3:AE4"/>
    <mergeCell ref="AF3:AF4"/>
    <mergeCell ref="AG3:AG4"/>
    <mergeCell ref="AH3:AH4"/>
    <mergeCell ref="AA3:AA4"/>
    <mergeCell ref="AB3:AB4"/>
    <mergeCell ref="U2:U4"/>
    <mergeCell ref="V2:V4"/>
    <mergeCell ref="Q2:Q4"/>
    <mergeCell ref="R2:R4"/>
    <mergeCell ref="AC3:AC4"/>
    <mergeCell ref="CO120:CO121"/>
    <mergeCell ref="CP120:CP121"/>
    <mergeCell ref="BZ90:BZ91"/>
    <mergeCell ref="AK1:BA1"/>
    <mergeCell ref="AM69:AM70"/>
    <mergeCell ref="AN69:AN70"/>
    <mergeCell ref="AO69:AO70"/>
    <mergeCell ref="AP69:AP70"/>
    <mergeCell ref="AQ69:AQ70"/>
    <mergeCell ref="AR69:AR70"/>
    <mergeCell ref="AS69:AS70"/>
    <mergeCell ref="AT69:AT70"/>
    <mergeCell ref="AY3:AY4"/>
    <mergeCell ref="AK2:AK4"/>
    <mergeCell ref="AL2:AL4"/>
    <mergeCell ref="AS3:AS4"/>
    <mergeCell ref="AT3:AT4"/>
    <mergeCell ref="AQ3:AQ4"/>
    <mergeCell ref="AR3:AR4"/>
    <mergeCell ref="AW38:AW39"/>
    <mergeCell ref="AK37:AK39"/>
    <mergeCell ref="AL37:AL39"/>
    <mergeCell ref="AM38:AM39"/>
    <mergeCell ref="AN38:AN39"/>
    <mergeCell ref="BU90:BU91"/>
    <mergeCell ref="BV90:BV91"/>
    <mergeCell ref="BC90:BC91"/>
    <mergeCell ref="CN195:CT195"/>
    <mergeCell ref="BD90:BD91"/>
    <mergeCell ref="BQ291:CA291"/>
    <mergeCell ref="CO235:CR235"/>
    <mergeCell ref="BQ276:BQ277"/>
    <mergeCell ref="BR276:BR277"/>
    <mergeCell ref="BT276:BT277"/>
    <mergeCell ref="BU276:BU277"/>
    <mergeCell ref="BV276:BV277"/>
    <mergeCell ref="BS276:BS277"/>
    <mergeCell ref="BX276:BX277"/>
    <mergeCell ref="BY276:BY277"/>
    <mergeCell ref="BZ276:BZ277"/>
    <mergeCell ref="CA276:CA277"/>
    <mergeCell ref="CB276:CB277"/>
    <mergeCell ref="CC276:CC277"/>
    <mergeCell ref="CD276:CD277"/>
    <mergeCell ref="CE276:CE277"/>
    <mergeCell ref="CF276:CF277"/>
    <mergeCell ref="CG276:CG277"/>
    <mergeCell ref="CO196:CQ196"/>
    <mergeCell ref="BF90:BF91"/>
    <mergeCell ref="BA83:BA84"/>
    <mergeCell ref="AU83:AU84"/>
    <mergeCell ref="CH276:CH277"/>
    <mergeCell ref="BB90:BB91"/>
    <mergeCell ref="BB69:BB70"/>
    <mergeCell ref="BB83:BB84"/>
    <mergeCell ref="BW90:BW91"/>
    <mergeCell ref="BX90:BX91"/>
    <mergeCell ref="BY90:BY91"/>
    <mergeCell ref="BE90:BE91"/>
    <mergeCell ref="CA90:CA91"/>
    <mergeCell ref="CB90:CB91"/>
    <mergeCell ref="CC90:CC91"/>
    <mergeCell ref="CD90:CD91"/>
    <mergeCell ref="CE90:CE91"/>
    <mergeCell ref="CF90:CF91"/>
    <mergeCell ref="CG90:CG91"/>
    <mergeCell ref="CH90:CH91"/>
    <mergeCell ref="CF81:CF82"/>
    <mergeCell ref="BQ90:BQ91"/>
    <mergeCell ref="BR90:BR91"/>
    <mergeCell ref="BS90:BS91"/>
    <mergeCell ref="BT90:BT91"/>
  </mergeCells>
  <phoneticPr fontId="0" type="noConversion"/>
  <pageMargins left="0.24" right="0.18" top="1" bottom="1" header="0.5" footer="0.5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2"/>
  <sheetViews>
    <sheetView tabSelected="1" workbookViewId="0">
      <pane xSplit="2535" ySplit="4695" topLeftCell="R5" activePane="bottomRight"/>
      <selection activeCell="A4" sqref="A4:XFD4"/>
      <selection pane="topRight" activeCell="AG5" sqref="AG5"/>
      <selection pane="bottomLeft" activeCell="A13" sqref="A13"/>
      <selection pane="bottomRight" activeCell="AG13" sqref="AG13"/>
    </sheetView>
  </sheetViews>
  <sheetFormatPr defaultRowHeight="12.75" x14ac:dyDescent="0.2"/>
  <cols>
    <col min="1" max="1" width="20.42578125" customWidth="1"/>
    <col min="2" max="2" width="16.7109375" customWidth="1"/>
    <col min="3" max="3" width="9.42578125" bestFit="1" customWidth="1"/>
    <col min="4" max="4" width="9.28515625" bestFit="1" customWidth="1"/>
    <col min="5" max="5" width="9.42578125" bestFit="1" customWidth="1"/>
    <col min="6" max="6" width="12.7109375" customWidth="1"/>
    <col min="7" max="7" width="13.140625" customWidth="1"/>
    <col min="8" max="8" width="13" customWidth="1"/>
    <col min="9" max="22" width="9.42578125" bestFit="1" customWidth="1"/>
    <col min="23" max="24" width="10.28515625" bestFit="1" customWidth="1"/>
    <col min="25" max="27" width="9.42578125" bestFit="1" customWidth="1"/>
    <col min="28" max="30" width="10.28515625" bestFit="1" customWidth="1"/>
    <col min="31" max="32" width="11.5703125" bestFit="1" customWidth="1"/>
    <col min="33" max="33" width="12.42578125" customWidth="1"/>
  </cols>
  <sheetData>
    <row r="2" spans="1:33" s="113" customFormat="1" ht="38.25" customHeight="1" x14ac:dyDescent="0.3">
      <c r="A2" s="224" t="s">
        <v>327</v>
      </c>
      <c r="B2" s="224"/>
      <c r="C2" s="224"/>
      <c r="D2" s="224"/>
      <c r="E2" s="224"/>
      <c r="F2" s="224"/>
      <c r="G2" s="224"/>
      <c r="H2" s="224"/>
      <c r="K2" s="114" t="s">
        <v>323</v>
      </c>
    </row>
    <row r="3" spans="1:33" s="128" customFormat="1" ht="28.5" customHeight="1" x14ac:dyDescent="0.2">
      <c r="A3" s="125" t="s">
        <v>321</v>
      </c>
      <c r="B3" s="125">
        <v>1989</v>
      </c>
      <c r="C3" s="125">
        <v>1990</v>
      </c>
      <c r="D3" s="125">
        <v>1991</v>
      </c>
      <c r="E3" s="125">
        <v>1992</v>
      </c>
      <c r="F3" s="125">
        <v>1993</v>
      </c>
      <c r="G3" s="125">
        <v>1994</v>
      </c>
      <c r="H3" s="125">
        <v>1995</v>
      </c>
      <c r="I3" s="125">
        <v>1996</v>
      </c>
      <c r="J3" s="125">
        <v>1997</v>
      </c>
      <c r="K3" s="125">
        <v>1998</v>
      </c>
      <c r="L3" s="125">
        <v>1999</v>
      </c>
      <c r="M3" s="125">
        <v>2000</v>
      </c>
      <c r="N3" s="125">
        <v>2001</v>
      </c>
      <c r="O3" s="125">
        <v>2002</v>
      </c>
      <c r="P3" s="125">
        <v>2003</v>
      </c>
      <c r="Q3" s="125">
        <v>2004</v>
      </c>
      <c r="R3" s="125">
        <v>2005</v>
      </c>
      <c r="S3" s="125">
        <v>2006</v>
      </c>
      <c r="T3" s="125">
        <v>2007</v>
      </c>
      <c r="U3" s="125">
        <v>2008</v>
      </c>
      <c r="V3" s="125">
        <v>2009</v>
      </c>
      <c r="W3" s="125">
        <v>2010</v>
      </c>
      <c r="X3" s="125">
        <v>2011</v>
      </c>
      <c r="Y3" s="125">
        <v>2012</v>
      </c>
      <c r="Z3" s="125">
        <v>2013</v>
      </c>
      <c r="AA3" s="125">
        <v>2014</v>
      </c>
      <c r="AB3" s="125">
        <v>2015</v>
      </c>
      <c r="AC3" s="126">
        <v>2016</v>
      </c>
      <c r="AD3" s="127">
        <v>2017</v>
      </c>
      <c r="AE3" s="127">
        <v>2018</v>
      </c>
      <c r="AF3" s="127">
        <v>2019</v>
      </c>
      <c r="AG3" s="128">
        <v>2020</v>
      </c>
    </row>
    <row r="4" spans="1:33" s="137" customFormat="1" ht="28.5" customHeight="1" x14ac:dyDescent="0.2">
      <c r="A4" s="138" t="s">
        <v>322</v>
      </c>
      <c r="B4" s="139">
        <v>84.347300000000004</v>
      </c>
      <c r="C4" s="139">
        <v>90.377399999999994</v>
      </c>
      <c r="D4" s="139">
        <v>153.31020000000001</v>
      </c>
      <c r="E4" s="139">
        <v>185.1037</v>
      </c>
      <c r="F4" s="139">
        <v>1269.5193999999999</v>
      </c>
      <c r="G4" s="139">
        <v>1592.6</v>
      </c>
      <c r="H4" s="139">
        <v>1681</v>
      </c>
      <c r="I4" s="139">
        <v>1380.4</v>
      </c>
      <c r="J4" s="139">
        <v>1111.3</v>
      </c>
      <c r="K4" s="139">
        <v>1097.0999999999999</v>
      </c>
      <c r="L4" s="139">
        <v>2338</v>
      </c>
      <c r="M4" s="139">
        <v>3836.8</v>
      </c>
      <c r="N4" s="139">
        <v>3848.3</v>
      </c>
      <c r="O4" s="139">
        <v>3169.6</v>
      </c>
      <c r="P4" s="139">
        <v>3095.8</v>
      </c>
      <c r="Q4" s="139">
        <v>3021.9</v>
      </c>
      <c r="R4" s="139">
        <v>2623.2</v>
      </c>
      <c r="S4" s="139">
        <v>3250.5</v>
      </c>
      <c r="T4" s="139">
        <v>4906.7</v>
      </c>
      <c r="U4" s="139">
        <v>6028.5</v>
      </c>
      <c r="V4" s="139">
        <v>7568</v>
      </c>
      <c r="W4" s="139">
        <v>10714.9</v>
      </c>
      <c r="X4" s="139">
        <v>13370.4</v>
      </c>
      <c r="Y4" s="139">
        <v>8698.4</v>
      </c>
      <c r="Z4" s="139">
        <v>2069.1</v>
      </c>
      <c r="AA4" s="139">
        <v>9411.1</v>
      </c>
      <c r="AB4" s="139">
        <v>10256.5</v>
      </c>
      <c r="AC4" s="140">
        <v>12294</v>
      </c>
      <c r="AD4" s="141">
        <v>14576.2</v>
      </c>
      <c r="AE4" s="142">
        <v>21609</v>
      </c>
      <c r="AF4" s="142">
        <v>22176</v>
      </c>
      <c r="AG4" s="137">
        <v>20136.8</v>
      </c>
    </row>
    <row r="5" spans="1:33" s="113" customFormat="1" ht="28.5" customHeight="1" x14ac:dyDescent="0.2">
      <c r="A5" s="115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</row>
    <row r="6" spans="1:33" s="113" customFormat="1" ht="50.25" customHeight="1" x14ac:dyDescent="0.3">
      <c r="A6" s="223" t="s">
        <v>326</v>
      </c>
      <c r="B6" s="223"/>
      <c r="C6" s="223"/>
      <c r="D6" s="223"/>
      <c r="E6" s="223"/>
      <c r="F6" s="223"/>
      <c r="G6" s="223"/>
      <c r="H6" s="223"/>
      <c r="I6" s="116"/>
      <c r="J6" s="116"/>
      <c r="K6" s="116"/>
      <c r="L6" s="116"/>
      <c r="M6" s="116"/>
      <c r="N6" s="116"/>
      <c r="O6" s="116"/>
      <c r="P6" s="116"/>
      <c r="Q6" s="116"/>
      <c r="V6" s="116"/>
      <c r="W6" s="116"/>
      <c r="X6" s="116"/>
      <c r="Y6" s="116"/>
      <c r="Z6" s="116"/>
      <c r="AA6" s="116"/>
      <c r="AB6" s="116"/>
      <c r="AC6" s="116"/>
      <c r="AD6" s="116"/>
    </row>
    <row r="7" spans="1:33" s="113" customFormat="1" ht="50.25" customHeight="1" x14ac:dyDescent="0.3">
      <c r="A7" s="117"/>
      <c r="B7" s="129" t="s">
        <v>334</v>
      </c>
      <c r="C7" s="129" t="s">
        <v>334</v>
      </c>
      <c r="D7" s="130"/>
      <c r="E7" s="129" t="s">
        <v>334</v>
      </c>
      <c r="F7" s="131"/>
      <c r="G7" s="131"/>
      <c r="H7" s="132"/>
      <c r="I7" s="129" t="s">
        <v>334</v>
      </c>
      <c r="J7" s="129" t="s">
        <v>334</v>
      </c>
      <c r="K7" s="129" t="s">
        <v>334</v>
      </c>
      <c r="L7" s="116"/>
      <c r="M7" s="116"/>
      <c r="N7" s="116"/>
      <c r="O7" s="116"/>
      <c r="P7" s="124" t="s">
        <v>333</v>
      </c>
      <c r="Q7" s="124" t="s">
        <v>333</v>
      </c>
      <c r="R7" s="122" t="s">
        <v>331</v>
      </c>
      <c r="S7" s="124" t="s">
        <v>333</v>
      </c>
      <c r="T7" s="124" t="s">
        <v>333</v>
      </c>
      <c r="U7" s="122" t="s">
        <v>331</v>
      </c>
      <c r="V7" s="116"/>
      <c r="W7" s="116"/>
      <c r="X7" s="116"/>
      <c r="Y7" s="116"/>
      <c r="Z7" s="116"/>
      <c r="AA7" s="116"/>
      <c r="AB7" s="116"/>
      <c r="AC7" s="116"/>
      <c r="AD7" s="116"/>
    </row>
    <row r="8" spans="1:33" s="137" customFormat="1" ht="35.25" customHeight="1" x14ac:dyDescent="0.2">
      <c r="A8" s="133" t="s">
        <v>330</v>
      </c>
      <c r="B8" s="134">
        <v>7919</v>
      </c>
      <c r="C8" s="135">
        <v>6093</v>
      </c>
      <c r="D8" s="134"/>
      <c r="E8" s="134">
        <v>5607</v>
      </c>
      <c r="F8" s="134"/>
      <c r="G8" s="134"/>
      <c r="H8" s="134">
        <v>1721.6</v>
      </c>
      <c r="I8" s="134">
        <v>975.9</v>
      </c>
      <c r="J8" s="134">
        <v>1782</v>
      </c>
      <c r="K8" s="134">
        <v>791.6</v>
      </c>
      <c r="L8" s="134">
        <v>2580.1</v>
      </c>
      <c r="M8" s="134">
        <v>3331.7</v>
      </c>
      <c r="N8" s="134">
        <v>3480.5</v>
      </c>
      <c r="O8" s="134">
        <v>2592</v>
      </c>
      <c r="P8" s="134">
        <v>2341.1999999999998</v>
      </c>
      <c r="Q8" s="134">
        <v>2337.8000000000002</v>
      </c>
      <c r="R8" s="134">
        <v>2606.4</v>
      </c>
      <c r="S8" s="134">
        <v>2771.8</v>
      </c>
      <c r="T8" s="134">
        <v>3204.3</v>
      </c>
      <c r="U8" s="134">
        <v>3989</v>
      </c>
      <c r="V8" s="136">
        <f t="shared" ref="V8:AC8" si="0">SUM(V9:V12)</f>
        <v>7568</v>
      </c>
      <c r="W8" s="136">
        <f t="shared" si="0"/>
        <v>10822.1</v>
      </c>
      <c r="X8" s="136">
        <f t="shared" si="0"/>
        <v>12471.6</v>
      </c>
      <c r="Y8" s="136">
        <f t="shared" si="0"/>
        <v>7661.5999999999995</v>
      </c>
      <c r="Z8" s="136">
        <f t="shared" si="0"/>
        <v>2069.1</v>
      </c>
      <c r="AA8" s="136">
        <f t="shared" si="0"/>
        <v>9411.0999999999985</v>
      </c>
      <c r="AB8" s="136">
        <f t="shared" si="0"/>
        <v>13060.2</v>
      </c>
      <c r="AC8" s="136">
        <f t="shared" si="0"/>
        <v>12134.4</v>
      </c>
      <c r="AD8" s="136">
        <f>SUM(AD9:AD12)</f>
        <v>13636.8</v>
      </c>
      <c r="AE8" s="137">
        <v>19090.3</v>
      </c>
      <c r="AF8" s="137">
        <v>20754.2</v>
      </c>
      <c r="AG8" s="137">
        <f>+AG9+AG10+AG11+AG12</f>
        <v>20136.8</v>
      </c>
    </row>
    <row r="9" spans="1:33" x14ac:dyDescent="0.2">
      <c r="A9" t="s">
        <v>324</v>
      </c>
      <c r="B9">
        <v>215.4</v>
      </c>
      <c r="C9" s="116">
        <v>208.8</v>
      </c>
      <c r="E9">
        <v>154.30000000000001</v>
      </c>
      <c r="H9">
        <v>64.099999999999994</v>
      </c>
      <c r="I9">
        <f>41+18</f>
        <v>59</v>
      </c>
      <c r="J9">
        <f>36.3+23.8</f>
        <v>60.099999999999994</v>
      </c>
      <c r="K9" s="28">
        <f>37.6+145.1</f>
        <v>182.7</v>
      </c>
      <c r="L9" s="116">
        <f>1848.6+102.3</f>
        <v>1950.8999999999999</v>
      </c>
      <c r="M9" s="116">
        <f>139.9+2175.1</f>
        <v>2315</v>
      </c>
      <c r="N9" s="116">
        <f>237.1+1751.3</f>
        <v>1988.3999999999999</v>
      </c>
      <c r="O9">
        <f>253.5+596.9</f>
        <v>850.4</v>
      </c>
      <c r="P9">
        <f>163.3+711.7</f>
        <v>875</v>
      </c>
      <c r="Q9">
        <f>133.9+618.5</f>
        <v>752.4</v>
      </c>
      <c r="R9">
        <v>828.9</v>
      </c>
      <c r="S9">
        <f>134.5+365.4</f>
        <v>499.9</v>
      </c>
      <c r="T9">
        <f>136.9+355.2</f>
        <v>492.1</v>
      </c>
      <c r="U9">
        <v>633.79999999999995</v>
      </c>
      <c r="V9">
        <f>485.6+1100.1</f>
        <v>1585.6999999999998</v>
      </c>
      <c r="W9">
        <v>2230.1</v>
      </c>
      <c r="X9">
        <v>1285.5</v>
      </c>
      <c r="Y9">
        <v>1022.4</v>
      </c>
      <c r="Z9">
        <v>439.8</v>
      </c>
      <c r="AA9">
        <v>1622.6</v>
      </c>
      <c r="AB9">
        <v>1647.1</v>
      </c>
      <c r="AC9">
        <v>1526.7</v>
      </c>
      <c r="AD9">
        <v>2758</v>
      </c>
      <c r="AE9">
        <v>1270.3</v>
      </c>
      <c r="AF9" s="121">
        <v>2032.6</v>
      </c>
      <c r="AG9" s="121">
        <v>2581.4</v>
      </c>
    </row>
    <row r="10" spans="1:33" x14ac:dyDescent="0.2">
      <c r="A10" t="s">
        <v>325</v>
      </c>
      <c r="B10" s="123">
        <f>+B8-B9-B11-B12</f>
        <v>6118.5</v>
      </c>
      <c r="C10" s="123">
        <f>+C8-C11-C9</f>
        <v>3901.2</v>
      </c>
      <c r="D10" s="123">
        <f t="shared" ref="D10:G10" si="1">+D8-D11-D9</f>
        <v>0</v>
      </c>
      <c r="E10" s="123">
        <f t="shared" si="1"/>
        <v>3056.7</v>
      </c>
      <c r="F10" s="123">
        <f t="shared" si="1"/>
        <v>0</v>
      </c>
      <c r="G10" s="123">
        <f t="shared" si="1"/>
        <v>0</v>
      </c>
      <c r="H10">
        <v>1093.5</v>
      </c>
      <c r="I10" s="123">
        <f t="shared" ref="I10" si="2">+I8-I11-I9</f>
        <v>561.70000000000005</v>
      </c>
      <c r="J10" s="123">
        <f t="shared" ref="J10" si="3">+J8-J11-J9</f>
        <v>1471.9</v>
      </c>
      <c r="K10" s="123">
        <f t="shared" ref="K10" si="4">+K8-K11-K9</f>
        <v>371.2000000000001</v>
      </c>
      <c r="L10" s="123">
        <f>+L8-L9-L11</f>
        <v>252.80000000000007</v>
      </c>
      <c r="M10" s="123">
        <f t="shared" ref="M10:N10" si="5">+M8-M9-M11</f>
        <v>372.19999999999982</v>
      </c>
      <c r="N10" s="123">
        <f t="shared" si="5"/>
        <v>773.60000000000014</v>
      </c>
      <c r="O10" s="123">
        <f>+O8-O9-O11</f>
        <v>976.09999999999991</v>
      </c>
      <c r="P10" s="4">
        <f>+P8-P9-P11-P12</f>
        <v>614.0999999999998</v>
      </c>
      <c r="Q10" s="4">
        <f>+Q8-Q9-Q11-Q12</f>
        <v>726.30000000000007</v>
      </c>
      <c r="R10">
        <v>946.9</v>
      </c>
      <c r="S10" s="4">
        <f t="shared" ref="S10:T10" si="6">+S8-S9-S11-S12</f>
        <v>1412.8</v>
      </c>
      <c r="T10" s="4">
        <f t="shared" si="6"/>
        <v>1739.8000000000002</v>
      </c>
      <c r="U10">
        <v>2409.6999999999998</v>
      </c>
      <c r="V10" s="4">
        <f>7568-V9-V11-V12</f>
        <v>4998</v>
      </c>
      <c r="W10">
        <v>7227</v>
      </c>
      <c r="X10">
        <v>9685.6</v>
      </c>
      <c r="Y10">
        <v>4543.6000000000004</v>
      </c>
      <c r="Z10">
        <v>1172.8</v>
      </c>
      <c r="AA10">
        <v>5427.5</v>
      </c>
      <c r="AB10">
        <v>7360.6</v>
      </c>
      <c r="AC10">
        <v>5252.3</v>
      </c>
      <c r="AD10">
        <v>5371.4</v>
      </c>
      <c r="AE10">
        <v>10194.9</v>
      </c>
      <c r="AF10" s="121">
        <v>10740.4</v>
      </c>
      <c r="AG10" s="121">
        <v>8730.2000000000007</v>
      </c>
    </row>
    <row r="11" spans="1:33" x14ac:dyDescent="0.2">
      <c r="A11" s="28" t="s">
        <v>332</v>
      </c>
      <c r="B11">
        <v>1585.1</v>
      </c>
      <c r="C11">
        <v>1983</v>
      </c>
      <c r="E11">
        <v>2396</v>
      </c>
      <c r="H11">
        <v>564</v>
      </c>
      <c r="I11">
        <v>355.2</v>
      </c>
      <c r="J11">
        <v>250</v>
      </c>
      <c r="K11">
        <v>237.7</v>
      </c>
      <c r="L11">
        <v>376.4</v>
      </c>
      <c r="M11">
        <v>644.5</v>
      </c>
      <c r="N11">
        <v>718.5</v>
      </c>
      <c r="O11">
        <v>765.5</v>
      </c>
      <c r="P11">
        <v>789.9</v>
      </c>
      <c r="Q11">
        <v>803.2</v>
      </c>
      <c r="R11" s="4">
        <f>+R8-R9-R10-R12</f>
        <v>799.1</v>
      </c>
      <c r="S11">
        <v>801.2</v>
      </c>
      <c r="T11">
        <v>911.9</v>
      </c>
      <c r="U11">
        <v>855</v>
      </c>
      <c r="V11">
        <v>912.6</v>
      </c>
      <c r="W11">
        <v>1276.0999999999999</v>
      </c>
      <c r="X11">
        <v>1377.7</v>
      </c>
      <c r="Y11">
        <v>1948.4</v>
      </c>
      <c r="Z11">
        <v>446.3</v>
      </c>
      <c r="AA11">
        <v>2227.6999999999998</v>
      </c>
      <c r="AB11">
        <v>3904.2</v>
      </c>
      <c r="AC11">
        <v>5196.8999999999996</v>
      </c>
      <c r="AD11">
        <v>5213.1000000000004</v>
      </c>
      <c r="AE11">
        <v>7270.7</v>
      </c>
      <c r="AF11" s="121">
        <v>7643.1</v>
      </c>
      <c r="AG11" s="121">
        <v>8215</v>
      </c>
    </row>
    <row r="12" spans="1:33" x14ac:dyDescent="0.2">
      <c r="A12" t="s">
        <v>335</v>
      </c>
      <c r="B12">
        <v>0</v>
      </c>
      <c r="C12">
        <v>0</v>
      </c>
      <c r="E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102.5</v>
      </c>
      <c r="N12">
        <v>197.1</v>
      </c>
      <c r="O12">
        <v>434</v>
      </c>
      <c r="P12">
        <v>62.2</v>
      </c>
      <c r="Q12">
        <v>55.9</v>
      </c>
      <c r="R12">
        <v>31.5</v>
      </c>
      <c r="S12">
        <v>57.9</v>
      </c>
      <c r="T12">
        <v>60.5</v>
      </c>
      <c r="U12">
        <v>71.8</v>
      </c>
      <c r="V12">
        <v>71.7</v>
      </c>
      <c r="W12">
        <v>88.9</v>
      </c>
      <c r="X12">
        <v>122.8</v>
      </c>
      <c r="Y12">
        <v>147.19999999999999</v>
      </c>
      <c r="Z12">
        <v>10.199999999999999</v>
      </c>
      <c r="AA12">
        <v>133.30000000000001</v>
      </c>
      <c r="AB12">
        <v>148.30000000000001</v>
      </c>
      <c r="AC12">
        <v>158.5</v>
      </c>
      <c r="AD12">
        <v>294.3</v>
      </c>
      <c r="AE12">
        <v>354.4</v>
      </c>
      <c r="AF12" s="121">
        <v>338.1</v>
      </c>
      <c r="AG12" s="121">
        <f>321.9+288.3</f>
        <v>610.20000000000005</v>
      </c>
    </row>
  </sheetData>
  <mergeCells count="2">
    <mergeCell ref="A6:H6"/>
    <mergeCell ref="A2:H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dinamik-golner</vt:lpstr>
      <vt:lpstr>динамик НБ</vt:lpstr>
      <vt:lpstr>borluulalt-yildverlelt</vt:lpstr>
    </vt:vector>
  </TitlesOfParts>
  <Company>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Operator1</dc:creator>
  <cp:lastModifiedBy>Sarantuya_R</cp:lastModifiedBy>
  <cp:lastPrinted>2015-06-12T09:41:46Z</cp:lastPrinted>
  <dcterms:created xsi:type="dcterms:W3CDTF">2004-10-01T16:56:04Z</dcterms:created>
  <dcterms:modified xsi:type="dcterms:W3CDTF">2021-03-30T09:00:59Z</dcterms:modified>
</cp:coreProperties>
</file>