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5600" windowHeight="10680" activeTab="3"/>
  </bookViews>
  <sheets>
    <sheet name="ndsh" sheetId="4" r:id="rId1"/>
    <sheet name="nd-daatguulagch" sheetId="5" r:id="rId2"/>
    <sheet name="tet awagch" sheetId="6" r:id="rId3"/>
    <sheet name="ndsott" sheetId="7" r:id="rId4"/>
  </sheets>
  <calcPr calcId="144525"/>
</workbook>
</file>

<file path=xl/calcChain.xml><?xml version="1.0" encoding="utf-8"?>
<calcChain xmlns="http://schemas.openxmlformats.org/spreadsheetml/2006/main">
  <c r="H21" i="7"/>
  <c r="O21"/>
  <c r="V21"/>
  <c r="AC21"/>
  <c r="V20" i="5"/>
  <c r="V19"/>
  <c r="V18"/>
  <c r="V17"/>
  <c r="V16"/>
  <c r="V15"/>
  <c r="V14"/>
  <c r="V13"/>
  <c r="V12"/>
  <c r="V11"/>
  <c r="V10"/>
  <c r="V9"/>
  <c r="V8"/>
  <c r="V7"/>
  <c r="V6"/>
  <c r="U21"/>
  <c r="T21"/>
  <c r="V21" s="1"/>
  <c r="K20" i="4"/>
  <c r="AB21" i="7" l="1"/>
  <c r="U21"/>
  <c r="N21"/>
  <c r="G21"/>
  <c r="B21"/>
  <c r="C21"/>
  <c r="D21"/>
  <c r="E21"/>
  <c r="F21"/>
  <c r="I21"/>
  <c r="J21"/>
  <c r="K21"/>
  <c r="L21"/>
  <c r="M21"/>
  <c r="P21"/>
  <c r="Q21"/>
  <c r="R21"/>
  <c r="S21"/>
  <c r="T21"/>
  <c r="W21"/>
  <c r="X21"/>
  <c r="Y21"/>
  <c r="Z21"/>
  <c r="AA21"/>
  <c r="CD22" i="6"/>
  <c r="CC22"/>
  <c r="CB22"/>
  <c r="CA22"/>
  <c r="BZ22"/>
  <c r="BY22"/>
  <c r="BX22"/>
  <c r="BW22"/>
  <c r="BV22"/>
  <c r="BU22"/>
  <c r="BT22"/>
  <c r="BS22"/>
  <c r="BR22"/>
  <c r="BQ22"/>
  <c r="BP22"/>
  <c r="BO22"/>
  <c r="BN22"/>
  <c r="BM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P21" i="5"/>
  <c r="O21"/>
  <c r="N21" s="1"/>
  <c r="N20"/>
  <c r="M20"/>
  <c r="L20"/>
  <c r="J20"/>
  <c r="I20"/>
  <c r="G20"/>
  <c r="F20"/>
  <c r="D20"/>
  <c r="C20"/>
  <c r="B20"/>
  <c r="N19"/>
  <c r="M19"/>
  <c r="L19"/>
  <c r="K19"/>
  <c r="J19"/>
  <c r="I19"/>
  <c r="G19"/>
  <c r="F19"/>
  <c r="E19" s="1"/>
  <c r="D19"/>
  <c r="C19"/>
  <c r="N18"/>
  <c r="M18"/>
  <c r="L18"/>
  <c r="J18"/>
  <c r="I18"/>
  <c r="H18" s="1"/>
  <c r="G18"/>
  <c r="F18"/>
  <c r="D18"/>
  <c r="C18"/>
  <c r="N17"/>
  <c r="M17"/>
  <c r="L17"/>
  <c r="K17" s="1"/>
  <c r="J17"/>
  <c r="I17"/>
  <c r="H17" s="1"/>
  <c r="G17"/>
  <c r="F17"/>
  <c r="E17" s="1"/>
  <c r="D17"/>
  <c r="C17"/>
  <c r="N16"/>
  <c r="M16"/>
  <c r="L16"/>
  <c r="J16"/>
  <c r="I16"/>
  <c r="G16"/>
  <c r="F16"/>
  <c r="D16"/>
  <c r="C16"/>
  <c r="B16"/>
  <c r="N15"/>
  <c r="M15"/>
  <c r="L15"/>
  <c r="K15"/>
  <c r="J15"/>
  <c r="I15"/>
  <c r="G15"/>
  <c r="F15"/>
  <c r="E15" s="1"/>
  <c r="D15"/>
  <c r="C15"/>
  <c r="N14"/>
  <c r="M14"/>
  <c r="L14"/>
  <c r="J14"/>
  <c r="I14"/>
  <c r="H14" s="1"/>
  <c r="G14"/>
  <c r="F14"/>
  <c r="D14"/>
  <c r="C14"/>
  <c r="N13"/>
  <c r="M13"/>
  <c r="L13"/>
  <c r="K13" s="1"/>
  <c r="J13"/>
  <c r="I13"/>
  <c r="H13" s="1"/>
  <c r="G13"/>
  <c r="F13"/>
  <c r="E13" s="1"/>
  <c r="D13"/>
  <c r="C13"/>
  <c r="B13" s="1"/>
  <c r="N12"/>
  <c r="M12"/>
  <c r="L12"/>
  <c r="J12"/>
  <c r="I12"/>
  <c r="G12"/>
  <c r="F12"/>
  <c r="D12"/>
  <c r="C12"/>
  <c r="B12"/>
  <c r="N11"/>
  <c r="M11"/>
  <c r="L11"/>
  <c r="K11"/>
  <c r="J11"/>
  <c r="I11"/>
  <c r="G11"/>
  <c r="F11"/>
  <c r="E11" s="1"/>
  <c r="D11"/>
  <c r="C11"/>
  <c r="N10"/>
  <c r="M10"/>
  <c r="L10"/>
  <c r="J10"/>
  <c r="I10"/>
  <c r="H10" s="1"/>
  <c r="G10"/>
  <c r="F10"/>
  <c r="D10"/>
  <c r="C10"/>
  <c r="N9"/>
  <c r="M9"/>
  <c r="L9"/>
  <c r="K9" s="1"/>
  <c r="J9"/>
  <c r="I9"/>
  <c r="H9" s="1"/>
  <c r="G9"/>
  <c r="F9"/>
  <c r="E9" s="1"/>
  <c r="D9"/>
  <c r="C9"/>
  <c r="B9" s="1"/>
  <c r="N8"/>
  <c r="M8"/>
  <c r="L8"/>
  <c r="J8"/>
  <c r="I8"/>
  <c r="G8"/>
  <c r="F8"/>
  <c r="D8"/>
  <c r="C8"/>
  <c r="B8"/>
  <c r="N7"/>
  <c r="M7"/>
  <c r="L7"/>
  <c r="K7"/>
  <c r="J7"/>
  <c r="I7"/>
  <c r="G7"/>
  <c r="F7"/>
  <c r="E7" s="1"/>
  <c r="D7"/>
  <c r="C7"/>
  <c r="N6"/>
  <c r="M6"/>
  <c r="L6"/>
  <c r="J6"/>
  <c r="I6"/>
  <c r="H6" s="1"/>
  <c r="G6"/>
  <c r="F6"/>
  <c r="D6"/>
  <c r="D21" s="1"/>
  <c r="C6"/>
  <c r="J20" i="4"/>
  <c r="I20"/>
  <c r="H20"/>
  <c r="G20"/>
  <c r="F20"/>
  <c r="E20"/>
  <c r="D20"/>
  <c r="C20"/>
  <c r="B20"/>
  <c r="B6" i="5" l="1"/>
  <c r="M21"/>
  <c r="E8"/>
  <c r="H8"/>
  <c r="K8"/>
  <c r="B10"/>
  <c r="E12"/>
  <c r="H12"/>
  <c r="K12"/>
  <c r="B14"/>
  <c r="E16"/>
  <c r="H16"/>
  <c r="K16"/>
  <c r="B18"/>
  <c r="E20"/>
  <c r="H20"/>
  <c r="K20"/>
  <c r="F21"/>
  <c r="J21"/>
  <c r="C21"/>
  <c r="G21"/>
  <c r="E10"/>
  <c r="B11"/>
  <c r="E14"/>
  <c r="B15"/>
  <c r="E18"/>
  <c r="B19"/>
  <c r="L21"/>
  <c r="I21"/>
  <c r="K10"/>
  <c r="H11"/>
  <c r="K14"/>
  <c r="H15"/>
  <c r="K18"/>
  <c r="H19"/>
  <c r="B17"/>
  <c r="E6"/>
  <c r="E21" s="1"/>
  <c r="K6"/>
  <c r="B7"/>
  <c r="B21" s="1"/>
  <c r="H7"/>
  <c r="H21" l="1"/>
  <c r="K21"/>
</calcChain>
</file>

<file path=xl/sharedStrings.xml><?xml version="1.0" encoding="utf-8"?>
<sst xmlns="http://schemas.openxmlformats.org/spreadsheetml/2006/main" count="190" uniqueCount="42">
  <si>
    <t>Дундговь</t>
  </si>
  <si>
    <t>Дэлгэрцогт</t>
  </si>
  <si>
    <t>Дэрэн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</si>
  <si>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</si>
  <si>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</si>
  <si>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</si>
  <si>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</si>
  <si>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</si>
  <si>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</si>
  <si>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</si>
  <si>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</si>
  <si>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</si>
  <si>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</si>
  <si>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</si>
  <si>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</si>
  <si>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</si>
  <si>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ДУНДГОВЬ АЙМГИЙН НИЙГМИЙН ДААТГАЛЫН ШИМТГЭЛИЙН ОРЛОГО, онуудаар</t>
  </si>
  <si>
    <t>/сая.төг/</t>
  </si>
  <si>
    <t>Сумдын нэр</t>
  </si>
  <si>
    <t>Нийгмийн даатгалын сангаас олгох тэтгэвэр тэтгэмжийн хэмжээ             /мян.төг /</t>
  </si>
  <si>
    <t>өндөр настны тэтгэвэр</t>
  </si>
  <si>
    <t>хөгжлийн бэрхшээлтэй иргэдийн тэтгэвэр</t>
  </si>
  <si>
    <t>Тэжээгчээ алдсаны тэтгэвэр</t>
  </si>
  <si>
    <t>Цэргийн тэтгэвэр</t>
  </si>
  <si>
    <t>Говь-угтаал</t>
  </si>
  <si>
    <t>Сайхан-овоо</t>
  </si>
  <si>
    <t>Сумдын дүн</t>
  </si>
  <si>
    <t>Сумын нэр</t>
  </si>
  <si>
    <t xml:space="preserve">Нийгмийн даатгалд даатгуулагчдын тоо </t>
  </si>
  <si>
    <t>Бүгд</t>
  </si>
  <si>
    <t>Эрэгтэй</t>
  </si>
  <si>
    <t>Эмэгтэй</t>
  </si>
  <si>
    <t>Тэтгэвэр авагчдын тоо</t>
  </si>
  <si>
    <t>Өндөр насны тэтгэвэр</t>
  </si>
  <si>
    <t>Хөгжлийн бэрхшээлтэй иргэдийн тэтгэвэр</t>
  </si>
  <si>
    <t xml:space="preserve">Өлзийт </t>
  </si>
  <si>
    <t>ДҮН</t>
  </si>
  <si>
    <t xml:space="preserve"> </t>
  </si>
  <si>
    <t xml:space="preserve">         </t>
  </si>
  <si>
    <t>Дундговь аймгийн тэтгэвэр авагчдын тоо, тэтгэврийн төрлөөр, 2010-2016 оноор</t>
  </si>
  <si>
    <t>НИЙГМИЙН ДААТГАЛД ДААТГУУЛАГЧДЫН ТОО, 2010-2016 оноор</t>
  </si>
  <si>
    <t>Нийгмийн даатгалын сангаас олгох тэтгэвэр тэтгэмжийн хэмжээ, 2010-2016 оноор            /мян.төг /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</si>
</sst>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 Mon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name val="Arial Mon"/>
      <family val="2"/>
    </font>
    <font>
      <sz val="10"/>
      <color theme="1"/>
      <name val="Arial Mon"/>
      <family val="2"/>
    </font>
    <font>
      <b/>
      <sz val="10"/>
      <color theme="1"/>
      <name val="Arial Mon"/>
      <family val="2"/>
    </font>
    <font>
      <sz val="11"/>
      <color theme="1"/>
      <name val="Arial Mon"/>
      <family val="2"/>
    </font>
    <font>
      <b/>
      <sz val="12"/>
      <color theme="1"/>
      <name val="Arial Mo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5" fillId="0" borderId="0"/>
  </cellStyleXfs>
  <cellXfs count="62">
    <xf numFmtId="0" fontId="0" fillId="0" borderId="0" xfId="0"/>
    <xf numFmtId="0" fontId="6" fillId="0" borderId="1" xfId="0" applyFont="1" applyBorder="1"/>
    <xf numFmtId="49" fontId="2" fillId="0" borderId="1" xfId="0" applyNumberFormat="1" applyFont="1" applyBorder="1"/>
    <xf numFmtId="0" fontId="2" fillId="0" borderId="1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4" fontId="6" fillId="0" borderId="0" xfId="0" applyNumberFormat="1" applyFont="1"/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4" xfId="0" applyFont="1" applyBorder="1" applyAlignment="1"/>
    <xf numFmtId="0" fontId="8" fillId="0" borderId="0" xfId="0" applyFont="1"/>
    <xf numFmtId="0" fontId="9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textRotation="90"/>
    </xf>
    <xf numFmtId="164" fontId="2" fillId="0" borderId="1" xfId="0" applyNumberFormat="1" applyFont="1" applyBorder="1" applyAlignment="1">
      <alignment horizontal="right"/>
    </xf>
    <xf numFmtId="0" fontId="6" fillId="0" borderId="4" xfId="0" applyFont="1" applyBorder="1"/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164" fontId="2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/>
    </xf>
    <xf numFmtId="0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3">
    <cellStyle name="Comma 2" xfId="2"/>
    <cellStyle name="Normal" xfId="0" builtinId="0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 5 2" xfId="9"/>
    <cellStyle name="Normal 6" xfId="10"/>
    <cellStyle name="Normal 7" xfId="1"/>
    <cellStyle name="Normal 8" xfId="11"/>
    <cellStyle name="Normal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0"/>
  <sheetViews>
    <sheetView workbookViewId="0">
      <pane xSplit="14925" topLeftCell="R1"/>
      <selection activeCell="K20" sqref="K20"/>
      <selection pane="topRight" activeCell="R46" sqref="R46"/>
    </sheetView>
  </sheetViews>
  <sheetFormatPr defaultRowHeight="12.75"/>
  <cols>
    <col min="1" max="1" width="14" style="4" customWidth="1"/>
    <col min="2" max="11" width="8.42578125" style="31" customWidth="1"/>
    <col min="12" max="12" width="9" style="4" customWidth="1"/>
    <col min="13" max="13" width="9.140625" style="4" customWidth="1"/>
    <col min="14" max="14" width="8.85546875" style="4" customWidth="1"/>
    <col min="15" max="15" width="8.5703125" style="4" customWidth="1"/>
    <col min="16" max="19" width="8.7109375" style="4" customWidth="1"/>
    <col min="20" max="24" width="9.28515625" style="4" customWidth="1"/>
    <col min="25" max="25" width="5" style="4" customWidth="1"/>
    <col min="26" max="27" width="4.42578125" style="4" customWidth="1"/>
    <col min="28" max="28" width="5.140625" style="4" customWidth="1"/>
    <col min="29" max="30" width="4.42578125" style="4" customWidth="1"/>
    <col min="31" max="31" width="5.7109375" style="4" customWidth="1"/>
    <col min="32" max="60" width="4.42578125" style="4" customWidth="1"/>
    <col min="61" max="68" width="4.5703125" style="4" customWidth="1"/>
    <col min="69" max="72" width="4.42578125" style="4" customWidth="1"/>
    <col min="73" max="16384" width="9.140625" style="4"/>
  </cols>
  <sheetData>
    <row r="2" spans="1:11" ht="14.25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4.25">
      <c r="A3" s="13"/>
      <c r="B3" s="32"/>
      <c r="C3" s="32"/>
      <c r="D3" s="32"/>
      <c r="E3" s="32"/>
      <c r="F3" s="32"/>
      <c r="G3" s="32"/>
      <c r="H3" s="32" t="s">
        <v>17</v>
      </c>
      <c r="I3" s="32"/>
    </row>
    <row r="4" spans="1:11">
      <c r="A4" s="1"/>
      <c r="B4" s="21">
        <v>2007</v>
      </c>
      <c r="C4" s="21">
        <v>2008</v>
      </c>
      <c r="D4" s="21">
        <v>2009</v>
      </c>
      <c r="E4" s="21">
        <v>2010</v>
      </c>
      <c r="F4" s="21">
        <v>2011</v>
      </c>
      <c r="G4" s="21">
        <v>2012</v>
      </c>
      <c r="H4" s="21">
        <v>2013</v>
      </c>
      <c r="I4" s="21">
        <v>2014</v>
      </c>
      <c r="J4" s="21">
        <v>2015</v>
      </c>
      <c r="K4" s="21">
        <v>2016</v>
      </c>
    </row>
    <row r="5" spans="1:11" ht="17.25" customHeight="1">
      <c r="A5" s="2" t="s">
        <v>1</v>
      </c>
      <c r="B5" s="3">
        <v>52.3</v>
      </c>
      <c r="C5" s="3">
        <v>71.599999999999994</v>
      </c>
      <c r="D5" s="3">
        <v>74</v>
      </c>
      <c r="E5" s="3">
        <v>79</v>
      </c>
      <c r="F5" s="3">
        <v>103.3</v>
      </c>
      <c r="G5" s="3">
        <v>128.1</v>
      </c>
      <c r="H5" s="3">
        <v>171.8</v>
      </c>
      <c r="I5" s="3">
        <v>174.4</v>
      </c>
      <c r="J5" s="3">
        <v>186.6</v>
      </c>
      <c r="K5" s="34">
        <v>219.5</v>
      </c>
    </row>
    <row r="6" spans="1:11" ht="17.25" customHeight="1">
      <c r="A6" s="2" t="s">
        <v>2</v>
      </c>
      <c r="B6" s="3">
        <v>61.8</v>
      </c>
      <c r="C6" s="3">
        <v>79.900000000000006</v>
      </c>
      <c r="D6" s="3">
        <v>79.400000000000006</v>
      </c>
      <c r="E6" s="3">
        <v>86.9</v>
      </c>
      <c r="F6" s="3">
        <v>115.9</v>
      </c>
      <c r="G6" s="3">
        <v>139.19999999999999</v>
      </c>
      <c r="H6" s="3">
        <v>177.9</v>
      </c>
      <c r="I6" s="3">
        <v>183.6</v>
      </c>
      <c r="J6" s="3">
        <v>194.8</v>
      </c>
      <c r="K6" s="34">
        <v>246.4</v>
      </c>
    </row>
    <row r="7" spans="1:11" ht="17.25" customHeight="1">
      <c r="A7" s="2" t="s">
        <v>3</v>
      </c>
      <c r="B7" s="3">
        <v>56.4</v>
      </c>
      <c r="C7" s="3">
        <v>75.400000000000006</v>
      </c>
      <c r="D7" s="3">
        <v>82.9</v>
      </c>
      <c r="E7" s="3">
        <v>103</v>
      </c>
      <c r="F7" s="3">
        <v>125</v>
      </c>
      <c r="G7" s="3">
        <v>172.7</v>
      </c>
      <c r="H7" s="3">
        <v>298.8</v>
      </c>
      <c r="I7" s="3">
        <v>256.60000000000002</v>
      </c>
      <c r="J7" s="3">
        <v>237.1</v>
      </c>
      <c r="K7" s="34">
        <v>260.10000000000002</v>
      </c>
    </row>
    <row r="8" spans="1:11" ht="17.25" customHeight="1">
      <c r="A8" s="2" t="s">
        <v>4</v>
      </c>
      <c r="B8" s="3">
        <v>39.700000000000003</v>
      </c>
      <c r="C8" s="3">
        <v>56.7</v>
      </c>
      <c r="D8" s="3">
        <v>59.6</v>
      </c>
      <c r="E8" s="3">
        <v>63.4</v>
      </c>
      <c r="F8" s="3">
        <v>79.599999999999994</v>
      </c>
      <c r="G8" s="3">
        <v>104</v>
      </c>
      <c r="H8" s="3">
        <v>132.5</v>
      </c>
      <c r="I8" s="3">
        <v>142.5</v>
      </c>
      <c r="J8" s="3">
        <v>157.1</v>
      </c>
      <c r="K8" s="34">
        <v>181.7</v>
      </c>
    </row>
    <row r="9" spans="1:11" ht="17.25" customHeight="1">
      <c r="A9" s="2" t="s">
        <v>5</v>
      </c>
      <c r="B9" s="3">
        <v>40.6</v>
      </c>
      <c r="C9" s="3">
        <v>57.9</v>
      </c>
      <c r="D9" s="3">
        <v>63.1</v>
      </c>
      <c r="E9" s="3">
        <v>70.599999999999994</v>
      </c>
      <c r="F9" s="3">
        <v>95</v>
      </c>
      <c r="G9" s="3">
        <v>138.5</v>
      </c>
      <c r="H9" s="3">
        <v>182.3</v>
      </c>
      <c r="I9" s="3">
        <v>192.6</v>
      </c>
      <c r="J9" s="3">
        <v>194.7</v>
      </c>
      <c r="K9" s="34">
        <v>213</v>
      </c>
    </row>
    <row r="10" spans="1:11" ht="17.25" customHeight="1">
      <c r="A10" s="2" t="s">
        <v>6</v>
      </c>
      <c r="B10" s="3">
        <v>49.5</v>
      </c>
      <c r="C10" s="3">
        <v>62.5</v>
      </c>
      <c r="D10" s="3">
        <v>73.599999999999994</v>
      </c>
      <c r="E10" s="3">
        <v>81.599999999999994</v>
      </c>
      <c r="F10" s="3">
        <v>106.5</v>
      </c>
      <c r="G10" s="3">
        <v>139.69999999999999</v>
      </c>
      <c r="H10" s="3">
        <v>187.5</v>
      </c>
      <c r="I10" s="3">
        <v>199.8</v>
      </c>
      <c r="J10" s="3">
        <v>210.2</v>
      </c>
      <c r="K10" s="34">
        <v>240.8</v>
      </c>
    </row>
    <row r="11" spans="1:11" ht="17.25" customHeight="1">
      <c r="A11" s="2" t="s">
        <v>7</v>
      </c>
      <c r="B11" s="3">
        <v>58.4</v>
      </c>
      <c r="C11" s="3">
        <v>79.099999999999994</v>
      </c>
      <c r="D11" s="3">
        <v>79.8</v>
      </c>
      <c r="E11" s="3">
        <v>88.7</v>
      </c>
      <c r="F11" s="3">
        <v>114.1</v>
      </c>
      <c r="G11" s="3">
        <v>144.5</v>
      </c>
      <c r="H11" s="3">
        <v>194.6</v>
      </c>
      <c r="I11" s="3">
        <v>318.2</v>
      </c>
      <c r="J11" s="3">
        <v>412.5</v>
      </c>
      <c r="K11" s="34">
        <v>592.9</v>
      </c>
    </row>
    <row r="12" spans="1:11" ht="17.25" customHeight="1">
      <c r="A12" s="2" t="s">
        <v>8</v>
      </c>
      <c r="B12" s="3">
        <v>58.8</v>
      </c>
      <c r="C12" s="3">
        <v>84.2</v>
      </c>
      <c r="D12" s="3">
        <v>87.3</v>
      </c>
      <c r="E12" s="3">
        <v>94.6</v>
      </c>
      <c r="F12" s="3">
        <v>132.30000000000001</v>
      </c>
      <c r="G12" s="3">
        <v>164.4</v>
      </c>
      <c r="H12" s="3">
        <v>222.2</v>
      </c>
      <c r="I12" s="3">
        <v>223.4</v>
      </c>
      <c r="J12" s="3">
        <v>230.3</v>
      </c>
      <c r="K12" s="34">
        <v>285.39999999999998</v>
      </c>
    </row>
    <row r="13" spans="1:11" ht="17.25" customHeight="1">
      <c r="A13" s="2" t="s">
        <v>9</v>
      </c>
      <c r="B13" s="3">
        <v>64.3</v>
      </c>
      <c r="C13" s="3">
        <v>84.1</v>
      </c>
      <c r="D13" s="3">
        <v>84.6</v>
      </c>
      <c r="E13" s="3">
        <v>97.6</v>
      </c>
      <c r="F13" s="3">
        <v>159.5</v>
      </c>
      <c r="G13" s="3">
        <v>207.8</v>
      </c>
      <c r="H13" s="3">
        <v>242.2</v>
      </c>
      <c r="I13" s="3">
        <v>260.5</v>
      </c>
      <c r="J13" s="17">
        <v>256</v>
      </c>
      <c r="K13" s="34">
        <v>312.7</v>
      </c>
    </row>
    <row r="14" spans="1:11" ht="17.25" customHeight="1">
      <c r="A14" s="2" t="s">
        <v>10</v>
      </c>
      <c r="B14" s="3">
        <v>54.8</v>
      </c>
      <c r="C14" s="3">
        <v>75</v>
      </c>
      <c r="D14" s="3">
        <v>76.400000000000006</v>
      </c>
      <c r="E14" s="3">
        <v>86.5</v>
      </c>
      <c r="F14" s="3">
        <v>115.3</v>
      </c>
      <c r="G14" s="3">
        <v>143.9</v>
      </c>
      <c r="H14" s="3">
        <v>183.3</v>
      </c>
      <c r="I14" s="3">
        <v>194.1</v>
      </c>
      <c r="J14" s="3">
        <v>208.6</v>
      </c>
      <c r="K14" s="34">
        <v>247.4</v>
      </c>
    </row>
    <row r="15" spans="1:11" ht="17.25" customHeight="1">
      <c r="A15" s="2" t="s">
        <v>11</v>
      </c>
      <c r="B15" s="3">
        <v>75.400000000000006</v>
      </c>
      <c r="C15" s="3">
        <v>103.3</v>
      </c>
      <c r="D15" s="3">
        <v>102.8</v>
      </c>
      <c r="E15" s="3">
        <v>113.7</v>
      </c>
      <c r="F15" s="3">
        <v>149.19999999999999</v>
      </c>
      <c r="G15" s="3">
        <v>179.1</v>
      </c>
      <c r="H15" s="3">
        <v>236.9</v>
      </c>
      <c r="I15" s="3">
        <v>247.7</v>
      </c>
      <c r="J15" s="3">
        <v>260.5</v>
      </c>
      <c r="K15" s="34">
        <v>310.2</v>
      </c>
    </row>
    <row r="16" spans="1:11" ht="17.25" customHeight="1">
      <c r="A16" s="2" t="s">
        <v>12</v>
      </c>
      <c r="B16" s="3">
        <v>58.9</v>
      </c>
      <c r="C16" s="3">
        <v>76.7</v>
      </c>
      <c r="D16" s="3">
        <v>82.1</v>
      </c>
      <c r="E16" s="3">
        <v>93.9</v>
      </c>
      <c r="F16" s="3">
        <v>120.2</v>
      </c>
      <c r="G16" s="3">
        <v>149.69999999999999</v>
      </c>
      <c r="H16" s="3">
        <v>187.7</v>
      </c>
      <c r="I16" s="3">
        <v>191.5</v>
      </c>
      <c r="J16" s="3">
        <v>205.8</v>
      </c>
      <c r="K16" s="34">
        <v>243.3</v>
      </c>
    </row>
    <row r="17" spans="1:11" ht="17.25" customHeight="1">
      <c r="A17" s="2" t="s">
        <v>13</v>
      </c>
      <c r="B17" s="3">
        <v>155.80000000000001</v>
      </c>
      <c r="C17" s="3">
        <v>203.9</v>
      </c>
      <c r="D17" s="3">
        <v>202.4</v>
      </c>
      <c r="E17" s="3">
        <v>223.8</v>
      </c>
      <c r="F17" s="3">
        <v>289.7</v>
      </c>
      <c r="G17" s="3">
        <v>371.6</v>
      </c>
      <c r="H17" s="3">
        <v>499</v>
      </c>
      <c r="I17" s="3">
        <v>520.4</v>
      </c>
      <c r="J17" s="3">
        <v>547.5</v>
      </c>
      <c r="K17" s="34">
        <v>628.5</v>
      </c>
    </row>
    <row r="18" spans="1:11" ht="17.25" customHeight="1">
      <c r="A18" s="2" t="s">
        <v>14</v>
      </c>
      <c r="B18" s="3">
        <v>1328.9</v>
      </c>
      <c r="C18" s="3">
        <v>1716.7</v>
      </c>
      <c r="D18" s="3">
        <v>1841.5</v>
      </c>
      <c r="E18" s="3">
        <v>2083</v>
      </c>
      <c r="F18" s="3">
        <v>1569.8</v>
      </c>
      <c r="G18" s="3">
        <v>3552.8</v>
      </c>
      <c r="H18" s="3">
        <v>4315.2</v>
      </c>
      <c r="I18" s="3">
        <v>4738.2</v>
      </c>
      <c r="J18" s="36">
        <v>5353.1</v>
      </c>
      <c r="K18" s="37">
        <v>6040.9</v>
      </c>
    </row>
    <row r="19" spans="1:11" ht="17.25" customHeight="1">
      <c r="A19" s="2" t="s">
        <v>15</v>
      </c>
      <c r="B19" s="3">
        <v>67.8</v>
      </c>
      <c r="C19" s="3">
        <v>90.2</v>
      </c>
      <c r="D19" s="3">
        <v>96</v>
      </c>
      <c r="E19" s="3">
        <v>105.9</v>
      </c>
      <c r="F19" s="3">
        <v>136.1</v>
      </c>
      <c r="G19" s="3">
        <v>167</v>
      </c>
      <c r="H19" s="3">
        <v>224.2</v>
      </c>
      <c r="I19" s="3">
        <v>239.4</v>
      </c>
      <c r="J19" s="36">
        <v>256.5</v>
      </c>
      <c r="K19" s="37">
        <v>303</v>
      </c>
    </row>
    <row r="20" spans="1:11" ht="17.25" customHeight="1">
      <c r="A20" s="2" t="s">
        <v>0</v>
      </c>
      <c r="B20" s="33">
        <f t="shared" ref="B20:I20" si="0">SUM(B5:B19)</f>
        <v>2223.4</v>
      </c>
      <c r="C20" s="33">
        <f t="shared" si="0"/>
        <v>2917.2</v>
      </c>
      <c r="D20" s="33">
        <f t="shared" si="0"/>
        <v>3085.5</v>
      </c>
      <c r="E20" s="33">
        <f t="shared" si="0"/>
        <v>3472.2000000000003</v>
      </c>
      <c r="F20" s="33">
        <f t="shared" si="0"/>
        <v>3411.5</v>
      </c>
      <c r="G20" s="35">
        <f t="shared" si="0"/>
        <v>5903</v>
      </c>
      <c r="H20" s="33">
        <f t="shared" si="0"/>
        <v>7456.0999999999995</v>
      </c>
      <c r="I20" s="33">
        <f t="shared" si="0"/>
        <v>8082.9</v>
      </c>
      <c r="J20" s="33">
        <f t="shared" ref="J20" si="1">SUM(J5:J19)</f>
        <v>8911.3000000000011</v>
      </c>
      <c r="K20" s="34">
        <f>SUM(K5:K19)</f>
        <v>10325.799999999999</v>
      </c>
    </row>
  </sheetData>
  <mergeCells count="1">
    <mergeCell ref="A2:K2"/>
  </mergeCells>
  <pageMargins left="0.17" right="0.17" top="0.17" bottom="0.16" header="0.31496062992125984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M21"/>
  <sheetViews>
    <sheetView topLeftCell="K1" workbookViewId="0">
      <selection activeCell="E9" sqref="E9"/>
    </sheetView>
  </sheetViews>
  <sheetFormatPr defaultRowHeight="15"/>
  <cols>
    <col min="1" max="1" width="14.5703125" customWidth="1"/>
    <col min="2" max="22" width="9.85546875" customWidth="1"/>
  </cols>
  <sheetData>
    <row r="1" spans="1:65" s="4" customFormat="1" ht="15" customHeight="1">
      <c r="A1" s="39" t="s">
        <v>40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5"/>
      <c r="Y1" s="5"/>
      <c r="BM1" s="4" t="s">
        <v>37</v>
      </c>
    </row>
    <row r="2" spans="1:65" s="4" customFormat="1" ht="12.75">
      <c r="U2" s="8"/>
      <c r="V2" s="8"/>
    </row>
    <row r="3" spans="1:65" s="4" customFormat="1" ht="12.75">
      <c r="A3" s="41" t="s">
        <v>27</v>
      </c>
      <c r="B3" s="40" t="s">
        <v>28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65" s="4" customFormat="1" ht="12.75">
      <c r="A4" s="41"/>
      <c r="B4" s="40">
        <v>2010</v>
      </c>
      <c r="C4" s="40"/>
      <c r="D4" s="40"/>
      <c r="E4" s="40">
        <v>2011</v>
      </c>
      <c r="F4" s="40"/>
      <c r="G4" s="40"/>
      <c r="H4" s="40">
        <v>2012</v>
      </c>
      <c r="I4" s="40"/>
      <c r="J4" s="40"/>
      <c r="K4" s="40">
        <v>2013</v>
      </c>
      <c r="L4" s="40"/>
      <c r="M4" s="40"/>
      <c r="N4" s="40">
        <v>2014</v>
      </c>
      <c r="O4" s="40"/>
      <c r="P4" s="40"/>
      <c r="Q4" s="40">
        <v>2015</v>
      </c>
      <c r="R4" s="40"/>
      <c r="S4" s="40"/>
      <c r="T4" s="40">
        <v>2016</v>
      </c>
      <c r="U4" s="40"/>
      <c r="V4" s="40"/>
    </row>
    <row r="5" spans="1:65" s="4" customFormat="1" ht="45" customHeight="1">
      <c r="A5" s="41"/>
      <c r="B5" s="9" t="s">
        <v>29</v>
      </c>
      <c r="C5" s="9" t="s">
        <v>30</v>
      </c>
      <c r="D5" s="9" t="s">
        <v>31</v>
      </c>
      <c r="E5" s="9" t="s">
        <v>29</v>
      </c>
      <c r="F5" s="9" t="s">
        <v>30</v>
      </c>
      <c r="G5" s="9" t="s">
        <v>31</v>
      </c>
      <c r="H5" s="9" t="s">
        <v>29</v>
      </c>
      <c r="I5" s="9" t="s">
        <v>30</v>
      </c>
      <c r="J5" s="9" t="s">
        <v>31</v>
      </c>
      <c r="K5" s="9" t="s">
        <v>29</v>
      </c>
      <c r="L5" s="9" t="s">
        <v>30</v>
      </c>
      <c r="M5" s="9" t="s">
        <v>31</v>
      </c>
      <c r="N5" s="9" t="s">
        <v>29</v>
      </c>
      <c r="O5" s="9" t="s">
        <v>30</v>
      </c>
      <c r="P5" s="9" t="s">
        <v>31</v>
      </c>
      <c r="Q5" s="16" t="s">
        <v>29</v>
      </c>
      <c r="R5" s="16" t="s">
        <v>30</v>
      </c>
      <c r="S5" s="16" t="s">
        <v>31</v>
      </c>
      <c r="T5" s="19" t="s">
        <v>29</v>
      </c>
      <c r="U5" s="19" t="s">
        <v>30</v>
      </c>
      <c r="V5" s="19" t="s">
        <v>31</v>
      </c>
    </row>
    <row r="6" spans="1:65" s="4" customFormat="1" ht="12.75" customHeight="1">
      <c r="A6" s="1" t="s">
        <v>14</v>
      </c>
      <c r="B6" s="10">
        <f t="shared" ref="B6:B20" si="0">C6+D6</f>
        <v>6023</v>
      </c>
      <c r="C6" s="10">
        <f>1549+1004</f>
        <v>2553</v>
      </c>
      <c r="D6" s="10">
        <f>1964+1506</f>
        <v>3470</v>
      </c>
      <c r="E6" s="10">
        <f t="shared" ref="E6:E20" si="1">F6+G6</f>
        <v>8841</v>
      </c>
      <c r="F6" s="10">
        <f>1699+1992</f>
        <v>3691</v>
      </c>
      <c r="G6" s="10">
        <f>2162+2988</f>
        <v>5150</v>
      </c>
      <c r="H6" s="10">
        <f t="shared" ref="H6:H20" si="2">I6+J6</f>
        <v>6773</v>
      </c>
      <c r="I6" s="10">
        <f>1783+1010</f>
        <v>2793</v>
      </c>
      <c r="J6" s="10">
        <f>2464+1516</f>
        <v>3980</v>
      </c>
      <c r="K6" s="10">
        <f t="shared" ref="K6:K20" si="3">L6+M6</f>
        <v>8047</v>
      </c>
      <c r="L6" s="10">
        <f>2303+1171</f>
        <v>3474</v>
      </c>
      <c r="M6" s="10">
        <f>2816+1757</f>
        <v>4573</v>
      </c>
      <c r="N6" s="1">
        <f t="shared" ref="N6:N21" si="4">O6+P6</f>
        <v>6543</v>
      </c>
      <c r="O6" s="1">
        <v>2617</v>
      </c>
      <c r="P6" s="1">
        <v>3926</v>
      </c>
      <c r="Q6" s="1">
        <v>7841</v>
      </c>
      <c r="R6" s="1">
        <v>3135</v>
      </c>
      <c r="S6" s="1">
        <v>4706</v>
      </c>
      <c r="T6" s="1">
        <v>8072</v>
      </c>
      <c r="U6" s="1">
        <v>3964</v>
      </c>
      <c r="V6" s="1">
        <f>T6-U6</f>
        <v>4108</v>
      </c>
    </row>
    <row r="7" spans="1:65" s="4" customFormat="1" ht="12.75" customHeight="1">
      <c r="A7" s="1" t="s">
        <v>15</v>
      </c>
      <c r="B7" s="10">
        <f t="shared" si="0"/>
        <v>677</v>
      </c>
      <c r="C7" s="10">
        <f>106+167</f>
        <v>273</v>
      </c>
      <c r="D7" s="10">
        <f>154+250</f>
        <v>404</v>
      </c>
      <c r="E7" s="10">
        <f t="shared" si="1"/>
        <v>1133</v>
      </c>
      <c r="F7" s="10">
        <f>135+330</f>
        <v>465</v>
      </c>
      <c r="G7" s="10">
        <f>172+496</f>
        <v>668</v>
      </c>
      <c r="H7" s="10">
        <f t="shared" si="2"/>
        <v>688</v>
      </c>
      <c r="I7" s="10">
        <f>109+171</f>
        <v>280</v>
      </c>
      <c r="J7" s="10">
        <f>152+256</f>
        <v>408</v>
      </c>
      <c r="K7" s="10">
        <f t="shared" si="3"/>
        <v>854</v>
      </c>
      <c r="L7" s="10">
        <f>160+199</f>
        <v>359</v>
      </c>
      <c r="M7" s="10">
        <f>196+299</f>
        <v>495</v>
      </c>
      <c r="N7" s="1">
        <f t="shared" si="4"/>
        <v>745</v>
      </c>
      <c r="O7" s="1">
        <v>298</v>
      </c>
      <c r="P7" s="1">
        <v>447</v>
      </c>
      <c r="Q7" s="1">
        <v>927</v>
      </c>
      <c r="R7" s="1">
        <v>371</v>
      </c>
      <c r="S7" s="1">
        <v>556</v>
      </c>
      <c r="T7" s="1">
        <v>1332</v>
      </c>
      <c r="U7" s="1">
        <v>463</v>
      </c>
      <c r="V7" s="1">
        <f t="shared" ref="V7:V21" si="5">T7-U7</f>
        <v>869</v>
      </c>
    </row>
    <row r="8" spans="1:65" s="4" customFormat="1" ht="12.75" customHeight="1">
      <c r="A8" s="1" t="s">
        <v>5</v>
      </c>
      <c r="B8" s="10">
        <f t="shared" si="0"/>
        <v>374</v>
      </c>
      <c r="C8" s="10">
        <f>67+84</f>
        <v>151</v>
      </c>
      <c r="D8" s="10">
        <f>97+126</f>
        <v>223</v>
      </c>
      <c r="E8" s="10">
        <f t="shared" si="1"/>
        <v>645</v>
      </c>
      <c r="F8" s="10">
        <f>92+174</f>
        <v>266</v>
      </c>
      <c r="G8" s="10">
        <f>117+262</f>
        <v>379</v>
      </c>
      <c r="H8" s="10">
        <f t="shared" si="2"/>
        <v>446</v>
      </c>
      <c r="I8" s="10">
        <f>98+84</f>
        <v>182</v>
      </c>
      <c r="J8" s="10">
        <f>137+127</f>
        <v>264</v>
      </c>
      <c r="K8" s="10">
        <f t="shared" si="3"/>
        <v>597</v>
      </c>
      <c r="L8" s="10">
        <f>166+90</f>
        <v>256</v>
      </c>
      <c r="M8" s="10">
        <f>205+136</f>
        <v>341</v>
      </c>
      <c r="N8" s="1">
        <f t="shared" si="4"/>
        <v>461</v>
      </c>
      <c r="O8" s="1">
        <v>226</v>
      </c>
      <c r="P8" s="1">
        <v>235</v>
      </c>
      <c r="Q8" s="1">
        <v>399</v>
      </c>
      <c r="R8" s="1">
        <v>195</v>
      </c>
      <c r="S8" s="1">
        <v>204</v>
      </c>
      <c r="T8" s="1">
        <v>663</v>
      </c>
      <c r="U8" s="1">
        <v>241</v>
      </c>
      <c r="V8" s="1">
        <f t="shared" si="5"/>
        <v>422</v>
      </c>
    </row>
    <row r="9" spans="1:65" s="4" customFormat="1" ht="12.75" customHeight="1">
      <c r="A9" s="1" t="s">
        <v>3</v>
      </c>
      <c r="B9" s="10">
        <f t="shared" si="0"/>
        <v>518</v>
      </c>
      <c r="C9" s="10">
        <f>100+110</f>
        <v>210</v>
      </c>
      <c r="D9" s="10">
        <f>144+164</f>
        <v>308</v>
      </c>
      <c r="E9" s="10">
        <f t="shared" si="1"/>
        <v>822</v>
      </c>
      <c r="F9" s="10">
        <f>121+218</f>
        <v>339</v>
      </c>
      <c r="G9" s="10">
        <f>155+328</f>
        <v>483</v>
      </c>
      <c r="H9" s="10">
        <f t="shared" si="2"/>
        <v>591</v>
      </c>
      <c r="I9" s="10">
        <f>132+110</f>
        <v>242</v>
      </c>
      <c r="J9" s="10">
        <f>183+166</f>
        <v>349</v>
      </c>
      <c r="K9" s="10">
        <f t="shared" si="3"/>
        <v>1148</v>
      </c>
      <c r="L9" s="10">
        <f>371+129</f>
        <v>500</v>
      </c>
      <c r="M9" s="10">
        <f>455+193</f>
        <v>648</v>
      </c>
      <c r="N9" s="1">
        <f t="shared" si="4"/>
        <v>701</v>
      </c>
      <c r="O9" s="1">
        <v>359</v>
      </c>
      <c r="P9" s="1">
        <v>342</v>
      </c>
      <c r="Q9" s="1">
        <v>710</v>
      </c>
      <c r="R9" s="1">
        <v>363</v>
      </c>
      <c r="S9" s="1">
        <v>347</v>
      </c>
      <c r="T9" s="1">
        <v>960</v>
      </c>
      <c r="U9" s="1">
        <v>443</v>
      </c>
      <c r="V9" s="1">
        <f t="shared" si="5"/>
        <v>517</v>
      </c>
    </row>
    <row r="10" spans="1:65" s="4" customFormat="1" ht="12.75" customHeight="1">
      <c r="A10" s="1" t="s">
        <v>7</v>
      </c>
      <c r="B10" s="10">
        <f t="shared" si="0"/>
        <v>657</v>
      </c>
      <c r="C10" s="10">
        <f>90+175</f>
        <v>265</v>
      </c>
      <c r="D10" s="10">
        <f>130+262</f>
        <v>392</v>
      </c>
      <c r="E10" s="10">
        <f t="shared" si="1"/>
        <v>1090</v>
      </c>
      <c r="F10" s="10">
        <f>97+348</f>
        <v>445</v>
      </c>
      <c r="G10" s="10">
        <f>124+521</f>
        <v>645</v>
      </c>
      <c r="H10" s="10">
        <f t="shared" si="2"/>
        <v>786</v>
      </c>
      <c r="I10" s="10">
        <f>141+180</f>
        <v>321</v>
      </c>
      <c r="J10" s="10">
        <f>196+269</f>
        <v>465</v>
      </c>
      <c r="K10" s="10">
        <f t="shared" si="3"/>
        <v>752</v>
      </c>
      <c r="L10" s="10">
        <f>136+180</f>
        <v>316</v>
      </c>
      <c r="M10" s="10">
        <f>166+270</f>
        <v>436</v>
      </c>
      <c r="N10" s="1">
        <f t="shared" si="4"/>
        <v>704</v>
      </c>
      <c r="O10" s="1">
        <v>344</v>
      </c>
      <c r="P10" s="1">
        <v>360</v>
      </c>
      <c r="Q10" s="1">
        <v>875</v>
      </c>
      <c r="R10" s="1">
        <v>427</v>
      </c>
      <c r="S10" s="1">
        <v>448</v>
      </c>
      <c r="T10" s="1">
        <v>1168</v>
      </c>
      <c r="U10" s="1">
        <v>530</v>
      </c>
      <c r="V10" s="1">
        <f t="shared" si="5"/>
        <v>638</v>
      </c>
    </row>
    <row r="11" spans="1:65" s="4" customFormat="1" ht="12.75" customHeight="1">
      <c r="A11" s="1" t="s">
        <v>11</v>
      </c>
      <c r="B11" s="10">
        <f t="shared" si="0"/>
        <v>700</v>
      </c>
      <c r="C11" s="10">
        <f>154+130</f>
        <v>284</v>
      </c>
      <c r="D11" s="10">
        <f>222+194</f>
        <v>416</v>
      </c>
      <c r="E11" s="10">
        <f t="shared" si="1"/>
        <v>973</v>
      </c>
      <c r="F11" s="10">
        <f>144+258</f>
        <v>402</v>
      </c>
      <c r="G11" s="10">
        <f>183+388</f>
        <v>571</v>
      </c>
      <c r="H11" s="10">
        <f t="shared" si="2"/>
        <v>652</v>
      </c>
      <c r="I11" s="10">
        <f>134+134</f>
        <v>268</v>
      </c>
      <c r="J11" s="10">
        <f>184+200</f>
        <v>384</v>
      </c>
      <c r="K11" s="10">
        <f t="shared" si="3"/>
        <v>789</v>
      </c>
      <c r="L11" s="10">
        <f>176+159</f>
        <v>335</v>
      </c>
      <c r="M11" s="10">
        <f>216+238</f>
        <v>454</v>
      </c>
      <c r="N11" s="1">
        <f t="shared" si="4"/>
        <v>671</v>
      </c>
      <c r="O11" s="1">
        <v>268</v>
      </c>
      <c r="P11" s="1">
        <v>403</v>
      </c>
      <c r="Q11" s="1">
        <v>757</v>
      </c>
      <c r="R11" s="1">
        <v>302</v>
      </c>
      <c r="S11" s="1">
        <v>455</v>
      </c>
      <c r="T11" s="1">
        <v>1116</v>
      </c>
      <c r="U11" s="1">
        <v>376</v>
      </c>
      <c r="V11" s="1">
        <f t="shared" si="5"/>
        <v>740</v>
      </c>
    </row>
    <row r="12" spans="1:65" s="4" customFormat="1" ht="12.75" customHeight="1">
      <c r="A12" s="1" t="s">
        <v>1</v>
      </c>
      <c r="B12" s="10">
        <f t="shared" si="0"/>
        <v>516</v>
      </c>
      <c r="C12" s="10">
        <f>99+109</f>
        <v>208</v>
      </c>
      <c r="D12" s="10">
        <f>144+164</f>
        <v>308</v>
      </c>
      <c r="E12" s="10">
        <f t="shared" si="1"/>
        <v>821</v>
      </c>
      <c r="F12" s="10">
        <f>122+218</f>
        <v>340</v>
      </c>
      <c r="G12" s="10">
        <f>155+326</f>
        <v>481</v>
      </c>
      <c r="H12" s="10">
        <f t="shared" si="2"/>
        <v>497</v>
      </c>
      <c r="I12" s="10">
        <f>93+110</f>
        <v>203</v>
      </c>
      <c r="J12" s="10">
        <f>128+166</f>
        <v>294</v>
      </c>
      <c r="K12" s="10">
        <f t="shared" si="3"/>
        <v>535</v>
      </c>
      <c r="L12" s="10">
        <f>130+98</f>
        <v>228</v>
      </c>
      <c r="M12" s="10">
        <f>159+148</f>
        <v>307</v>
      </c>
      <c r="N12" s="1">
        <f t="shared" si="4"/>
        <v>391</v>
      </c>
      <c r="O12" s="1">
        <v>157</v>
      </c>
      <c r="P12" s="1">
        <v>234</v>
      </c>
      <c r="Q12" s="1">
        <v>491</v>
      </c>
      <c r="R12" s="1">
        <v>197</v>
      </c>
      <c r="S12" s="1">
        <v>294</v>
      </c>
      <c r="T12" s="1">
        <v>815</v>
      </c>
      <c r="U12" s="1">
        <v>240</v>
      </c>
      <c r="V12" s="1">
        <f t="shared" si="5"/>
        <v>575</v>
      </c>
    </row>
    <row r="13" spans="1:65" s="4" customFormat="1" ht="12.75" customHeight="1">
      <c r="A13" s="1" t="s">
        <v>2</v>
      </c>
      <c r="B13" s="10">
        <f t="shared" si="0"/>
        <v>576</v>
      </c>
      <c r="C13" s="10">
        <f>98+134</f>
        <v>232</v>
      </c>
      <c r="D13" s="10">
        <f>143+201</f>
        <v>344</v>
      </c>
      <c r="E13" s="10">
        <f t="shared" si="1"/>
        <v>940</v>
      </c>
      <c r="F13" s="10">
        <f>120+267</f>
        <v>387</v>
      </c>
      <c r="G13" s="10">
        <f>152+401</f>
        <v>553</v>
      </c>
      <c r="H13" s="10">
        <f t="shared" si="2"/>
        <v>571</v>
      </c>
      <c r="I13" s="10">
        <f>96+137</f>
        <v>233</v>
      </c>
      <c r="J13" s="10">
        <f>133+205</f>
        <v>338</v>
      </c>
      <c r="K13" s="10">
        <f t="shared" si="3"/>
        <v>583</v>
      </c>
      <c r="L13" s="10">
        <f>122+124</f>
        <v>246</v>
      </c>
      <c r="M13" s="10">
        <f>150+187</f>
        <v>337</v>
      </c>
      <c r="N13" s="1">
        <f t="shared" si="4"/>
        <v>498</v>
      </c>
      <c r="O13" s="1">
        <v>200</v>
      </c>
      <c r="P13" s="1">
        <v>298</v>
      </c>
      <c r="Q13" s="1">
        <v>582</v>
      </c>
      <c r="R13" s="1">
        <v>233</v>
      </c>
      <c r="S13" s="1">
        <v>349</v>
      </c>
      <c r="T13" s="1">
        <v>955</v>
      </c>
      <c r="U13" s="1">
        <v>289</v>
      </c>
      <c r="V13" s="1">
        <f t="shared" si="5"/>
        <v>666</v>
      </c>
    </row>
    <row r="14" spans="1:65" s="4" customFormat="1" ht="12.75" customHeight="1">
      <c r="A14" s="1" t="s">
        <v>10</v>
      </c>
      <c r="B14" s="10">
        <f t="shared" si="0"/>
        <v>586</v>
      </c>
      <c r="C14" s="10">
        <f>120+119</f>
        <v>239</v>
      </c>
      <c r="D14" s="10">
        <f>169+178</f>
        <v>347</v>
      </c>
      <c r="E14" s="10">
        <f t="shared" si="1"/>
        <v>833</v>
      </c>
      <c r="F14" s="10">
        <f>107+236</f>
        <v>343</v>
      </c>
      <c r="G14" s="10">
        <f>136+354</f>
        <v>490</v>
      </c>
      <c r="H14" s="10">
        <f t="shared" si="2"/>
        <v>541</v>
      </c>
      <c r="I14" s="10">
        <f>99+122</f>
        <v>221</v>
      </c>
      <c r="J14" s="10">
        <f>138+182</f>
        <v>320</v>
      </c>
      <c r="K14" s="10">
        <f t="shared" si="3"/>
        <v>644</v>
      </c>
      <c r="L14" s="10">
        <f>133+140</f>
        <v>273</v>
      </c>
      <c r="M14" s="10">
        <f>162+209</f>
        <v>371</v>
      </c>
      <c r="N14" s="1">
        <f t="shared" si="4"/>
        <v>495</v>
      </c>
      <c r="O14" s="1">
        <v>198</v>
      </c>
      <c r="P14" s="1">
        <v>297</v>
      </c>
      <c r="Q14" s="1">
        <v>806</v>
      </c>
      <c r="R14" s="1">
        <v>322</v>
      </c>
      <c r="S14" s="1">
        <v>484</v>
      </c>
      <c r="T14" s="1">
        <v>1062</v>
      </c>
      <c r="U14" s="1">
        <v>395</v>
      </c>
      <c r="V14" s="1">
        <f t="shared" si="5"/>
        <v>667</v>
      </c>
    </row>
    <row r="15" spans="1:65" s="4" customFormat="1" ht="12.75" customHeight="1">
      <c r="A15" s="1" t="s">
        <v>8</v>
      </c>
      <c r="B15" s="10">
        <f t="shared" si="0"/>
        <v>660</v>
      </c>
      <c r="C15" s="10">
        <f>93+174</f>
        <v>267</v>
      </c>
      <c r="D15" s="10">
        <f>133+260</f>
        <v>393</v>
      </c>
      <c r="E15" s="10">
        <f t="shared" si="1"/>
        <v>1271</v>
      </c>
      <c r="F15" s="10">
        <f>181+344</f>
        <v>525</v>
      </c>
      <c r="G15" s="10">
        <f>231+515</f>
        <v>746</v>
      </c>
      <c r="H15" s="10">
        <f t="shared" si="2"/>
        <v>894</v>
      </c>
      <c r="I15" s="10">
        <f>188+178</f>
        <v>366</v>
      </c>
      <c r="J15" s="10">
        <f>260+268</f>
        <v>528</v>
      </c>
      <c r="K15" s="10">
        <f t="shared" si="3"/>
        <v>809</v>
      </c>
      <c r="L15" s="10">
        <f>207+140</f>
        <v>347</v>
      </c>
      <c r="M15" s="10">
        <f>252+210</f>
        <v>462</v>
      </c>
      <c r="N15" s="1">
        <f t="shared" si="4"/>
        <v>726</v>
      </c>
      <c r="O15" s="1">
        <v>290</v>
      </c>
      <c r="P15" s="1">
        <v>436</v>
      </c>
      <c r="Q15" s="1">
        <v>678</v>
      </c>
      <c r="R15" s="1">
        <v>270</v>
      </c>
      <c r="S15" s="1">
        <v>408</v>
      </c>
      <c r="T15" s="1">
        <v>1149</v>
      </c>
      <c r="U15" s="1">
        <v>327</v>
      </c>
      <c r="V15" s="1">
        <f t="shared" si="5"/>
        <v>822</v>
      </c>
    </row>
    <row r="16" spans="1:65" s="4" customFormat="1" ht="12.75" customHeight="1">
      <c r="A16" s="1" t="s">
        <v>6</v>
      </c>
      <c r="B16" s="10">
        <f t="shared" si="0"/>
        <v>510</v>
      </c>
      <c r="C16" s="10">
        <f>84+122</f>
        <v>206</v>
      </c>
      <c r="D16" s="10">
        <f>121+183</f>
        <v>304</v>
      </c>
      <c r="E16" s="10">
        <f t="shared" si="1"/>
        <v>854</v>
      </c>
      <c r="F16" s="10">
        <f>108+243</f>
        <v>351</v>
      </c>
      <c r="G16" s="10">
        <f>138+365</f>
        <v>503</v>
      </c>
      <c r="H16" s="10">
        <f t="shared" si="2"/>
        <v>570</v>
      </c>
      <c r="I16" s="10">
        <f>107+126</f>
        <v>233</v>
      </c>
      <c r="J16" s="10">
        <f>148+189</f>
        <v>337</v>
      </c>
      <c r="K16" s="10">
        <f t="shared" si="3"/>
        <v>548</v>
      </c>
      <c r="L16" s="10">
        <f>126+107</f>
        <v>233</v>
      </c>
      <c r="M16" s="10">
        <f>154+161</f>
        <v>315</v>
      </c>
      <c r="N16" s="1">
        <f t="shared" si="4"/>
        <v>507</v>
      </c>
      <c r="O16" s="1">
        <v>203</v>
      </c>
      <c r="P16" s="1">
        <v>304</v>
      </c>
      <c r="Q16" s="1">
        <v>666</v>
      </c>
      <c r="R16" s="1">
        <v>267</v>
      </c>
      <c r="S16" s="1">
        <v>399</v>
      </c>
      <c r="T16" s="1">
        <v>801</v>
      </c>
      <c r="U16" s="1">
        <v>328</v>
      </c>
      <c r="V16" s="1">
        <f t="shared" si="5"/>
        <v>473</v>
      </c>
    </row>
    <row r="17" spans="1:22" s="4" customFormat="1" ht="12.75" customHeight="1">
      <c r="A17" s="1" t="s">
        <v>12</v>
      </c>
      <c r="B17" s="10">
        <f t="shared" si="0"/>
        <v>562</v>
      </c>
      <c r="C17" s="10">
        <f>88+139</f>
        <v>227</v>
      </c>
      <c r="D17" s="10">
        <f>126+209</f>
        <v>335</v>
      </c>
      <c r="E17" s="10">
        <f t="shared" si="1"/>
        <v>922</v>
      </c>
      <c r="F17" s="10">
        <f>103+275</f>
        <v>378</v>
      </c>
      <c r="G17" s="10">
        <f>131+413</f>
        <v>544</v>
      </c>
      <c r="H17" s="10">
        <f t="shared" si="2"/>
        <v>592</v>
      </c>
      <c r="I17" s="10">
        <f>98+144</f>
        <v>242</v>
      </c>
      <c r="J17" s="10">
        <f>134+216</f>
        <v>350</v>
      </c>
      <c r="K17" s="10">
        <f t="shared" si="3"/>
        <v>622</v>
      </c>
      <c r="L17" s="10">
        <f>131+132</f>
        <v>263</v>
      </c>
      <c r="M17" s="10">
        <f>160+199</f>
        <v>359</v>
      </c>
      <c r="N17" s="1">
        <f t="shared" si="4"/>
        <v>496</v>
      </c>
      <c r="O17" s="1">
        <v>198</v>
      </c>
      <c r="P17" s="1">
        <v>298</v>
      </c>
      <c r="Q17" s="1">
        <v>642</v>
      </c>
      <c r="R17" s="1">
        <v>256</v>
      </c>
      <c r="S17" s="1">
        <v>386</v>
      </c>
      <c r="T17" s="1">
        <v>854</v>
      </c>
      <c r="U17" s="1">
        <v>318</v>
      </c>
      <c r="V17" s="1">
        <f t="shared" si="5"/>
        <v>536</v>
      </c>
    </row>
    <row r="18" spans="1:22" s="4" customFormat="1" ht="12.75" customHeight="1">
      <c r="A18" s="1" t="s">
        <v>9</v>
      </c>
      <c r="B18" s="10">
        <f t="shared" si="0"/>
        <v>701</v>
      </c>
      <c r="C18" s="10">
        <f>100+183</f>
        <v>283</v>
      </c>
      <c r="D18" s="10">
        <f>144+274</f>
        <v>418</v>
      </c>
      <c r="E18" s="10">
        <f t="shared" si="1"/>
        <v>1371</v>
      </c>
      <c r="F18" s="10">
        <f>205+362</f>
        <v>567</v>
      </c>
      <c r="G18" s="10">
        <f>261+543</f>
        <v>804</v>
      </c>
      <c r="H18" s="10">
        <f t="shared" si="2"/>
        <v>859</v>
      </c>
      <c r="I18" s="10">
        <f>235+18</f>
        <v>253</v>
      </c>
      <c r="J18" s="10">
        <f>325+281</f>
        <v>606</v>
      </c>
      <c r="K18" s="10">
        <f t="shared" si="3"/>
        <v>1159</v>
      </c>
      <c r="L18" s="10">
        <f>302+194</f>
        <v>496</v>
      </c>
      <c r="M18" s="10">
        <f>371+292</f>
        <v>663</v>
      </c>
      <c r="N18" s="1">
        <f t="shared" si="4"/>
        <v>602</v>
      </c>
      <c r="O18" s="1">
        <v>241</v>
      </c>
      <c r="P18" s="1">
        <v>361</v>
      </c>
      <c r="Q18" s="1">
        <v>837</v>
      </c>
      <c r="R18" s="1">
        <v>335</v>
      </c>
      <c r="S18" s="1">
        <v>502</v>
      </c>
      <c r="T18" s="1">
        <v>1370</v>
      </c>
      <c r="U18" s="1">
        <v>414</v>
      </c>
      <c r="V18" s="1">
        <f t="shared" si="5"/>
        <v>956</v>
      </c>
    </row>
    <row r="19" spans="1:22" s="4" customFormat="1" ht="12.75" customHeight="1">
      <c r="A19" s="1" t="s">
        <v>4</v>
      </c>
      <c r="B19" s="10">
        <f t="shared" si="0"/>
        <v>361</v>
      </c>
      <c r="C19" s="10">
        <f>79+67</f>
        <v>146</v>
      </c>
      <c r="D19" s="10">
        <f>115+100</f>
        <v>215</v>
      </c>
      <c r="E19" s="10">
        <f t="shared" si="1"/>
        <v>525</v>
      </c>
      <c r="F19" s="10">
        <f>85+133</f>
        <v>218</v>
      </c>
      <c r="G19" s="10">
        <f>108+199</f>
        <v>307</v>
      </c>
      <c r="H19" s="10">
        <f t="shared" si="2"/>
        <v>380</v>
      </c>
      <c r="I19" s="10">
        <f>87+69</f>
        <v>156</v>
      </c>
      <c r="J19" s="10">
        <f>121+103</f>
        <v>224</v>
      </c>
      <c r="K19" s="10">
        <f t="shared" si="3"/>
        <v>436</v>
      </c>
      <c r="L19" s="10">
        <f>115+72</f>
        <v>187</v>
      </c>
      <c r="M19" s="10">
        <f>142+107</f>
        <v>249</v>
      </c>
      <c r="N19" s="1">
        <f t="shared" si="4"/>
        <v>309</v>
      </c>
      <c r="O19" s="1">
        <v>124</v>
      </c>
      <c r="P19" s="1">
        <v>185</v>
      </c>
      <c r="Q19" s="1">
        <v>376</v>
      </c>
      <c r="R19" s="1">
        <v>151</v>
      </c>
      <c r="S19" s="1">
        <v>225</v>
      </c>
      <c r="T19" s="1">
        <v>535</v>
      </c>
      <c r="U19" s="1">
        <v>183</v>
      </c>
      <c r="V19" s="1">
        <f t="shared" si="5"/>
        <v>352</v>
      </c>
    </row>
    <row r="20" spans="1:22" s="4" customFormat="1" ht="12.75" customHeight="1">
      <c r="A20" s="1" t="s">
        <v>13</v>
      </c>
      <c r="B20" s="10">
        <f t="shared" si="0"/>
        <v>1600</v>
      </c>
      <c r="C20" s="10">
        <f>265+382</f>
        <v>647</v>
      </c>
      <c r="D20" s="10">
        <f>381+572</f>
        <v>953</v>
      </c>
      <c r="E20" s="10">
        <f t="shared" si="1"/>
        <v>2623</v>
      </c>
      <c r="F20" s="10">
        <f>323+756</f>
        <v>1079</v>
      </c>
      <c r="G20" s="10">
        <f>410+1134</f>
        <v>1544</v>
      </c>
      <c r="H20" s="10">
        <f t="shared" si="2"/>
        <v>1650</v>
      </c>
      <c r="I20" s="10">
        <f>286+387</f>
        <v>673</v>
      </c>
      <c r="J20" s="10">
        <f>397+580</f>
        <v>977</v>
      </c>
      <c r="K20" s="10">
        <f t="shared" si="3"/>
        <v>2283</v>
      </c>
      <c r="L20" s="10">
        <f>489+478</f>
        <v>967</v>
      </c>
      <c r="M20" s="10">
        <f>599+717</f>
        <v>1316</v>
      </c>
      <c r="N20" s="1">
        <f t="shared" si="4"/>
        <v>1569</v>
      </c>
      <c r="O20" s="1">
        <v>627</v>
      </c>
      <c r="P20" s="1">
        <v>942</v>
      </c>
      <c r="Q20" s="1">
        <v>2266</v>
      </c>
      <c r="R20" s="1">
        <v>905</v>
      </c>
      <c r="S20" s="1">
        <v>1361</v>
      </c>
      <c r="T20" s="1">
        <v>2662</v>
      </c>
      <c r="U20" s="1">
        <v>1127</v>
      </c>
      <c r="V20" s="1">
        <f t="shared" si="5"/>
        <v>1535</v>
      </c>
    </row>
    <row r="21" spans="1:22" s="4" customFormat="1" ht="12.75" customHeight="1">
      <c r="A21" s="1" t="s">
        <v>26</v>
      </c>
      <c r="B21" s="10">
        <f t="shared" ref="B21:M21" si="6">SUM(B6:B20)</f>
        <v>15021</v>
      </c>
      <c r="C21" s="10">
        <f t="shared" si="6"/>
        <v>6191</v>
      </c>
      <c r="D21" s="10">
        <f t="shared" si="6"/>
        <v>8830</v>
      </c>
      <c r="E21" s="10">
        <f t="shared" si="6"/>
        <v>23664</v>
      </c>
      <c r="F21" s="10">
        <f t="shared" si="6"/>
        <v>9796</v>
      </c>
      <c r="G21" s="10">
        <f t="shared" si="6"/>
        <v>13868</v>
      </c>
      <c r="H21" s="10">
        <f t="shared" si="6"/>
        <v>16490</v>
      </c>
      <c r="I21" s="10">
        <f t="shared" si="6"/>
        <v>6666</v>
      </c>
      <c r="J21" s="10">
        <f t="shared" si="6"/>
        <v>9824</v>
      </c>
      <c r="K21" s="10">
        <f t="shared" si="6"/>
        <v>19806</v>
      </c>
      <c r="L21" s="10">
        <f t="shared" si="6"/>
        <v>8480</v>
      </c>
      <c r="M21" s="10">
        <f t="shared" si="6"/>
        <v>11326</v>
      </c>
      <c r="N21" s="1">
        <f t="shared" si="4"/>
        <v>15418</v>
      </c>
      <c r="O21" s="1">
        <f>SUM(O6:O20)</f>
        <v>6350</v>
      </c>
      <c r="P21" s="1">
        <f>SUM(P6:P20)</f>
        <v>9068</v>
      </c>
      <c r="Q21" s="1">
        <v>18853</v>
      </c>
      <c r="R21" s="1">
        <v>7729</v>
      </c>
      <c r="S21" s="1">
        <v>11124</v>
      </c>
      <c r="T21" s="1">
        <f>SUM(T6:T20)</f>
        <v>23514</v>
      </c>
      <c r="U21" s="1">
        <f>SUM(U6:U20)</f>
        <v>9638</v>
      </c>
      <c r="V21" s="1">
        <f t="shared" si="5"/>
        <v>13876</v>
      </c>
    </row>
  </sheetData>
  <mergeCells count="10">
    <mergeCell ref="A1:W1"/>
    <mergeCell ref="T4:V4"/>
    <mergeCell ref="B3:V3"/>
    <mergeCell ref="A3:A5"/>
    <mergeCell ref="B4:D4"/>
    <mergeCell ref="Q4:S4"/>
    <mergeCell ref="E4:G4"/>
    <mergeCell ref="H4:J4"/>
    <mergeCell ref="K4:M4"/>
    <mergeCell ref="N4:P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G22"/>
  <sheetViews>
    <sheetView zoomScale="96" zoomScaleNormal="96" workbookViewId="0">
      <selection activeCell="CD17" sqref="CD17:CF17"/>
    </sheetView>
  </sheetViews>
  <sheetFormatPr defaultRowHeight="15"/>
  <cols>
    <col min="1" max="1" width="14.5703125" customWidth="1"/>
    <col min="2" max="85" width="9.42578125" customWidth="1"/>
  </cols>
  <sheetData>
    <row r="1" spans="1:85" s="4" customFormat="1" ht="16.5" customHeight="1">
      <c r="D1" s="14" t="s">
        <v>39</v>
      </c>
    </row>
    <row r="2" spans="1:85" s="4" customFormat="1" ht="15.75" customHeight="1"/>
    <row r="3" spans="1:85" s="4" customFormat="1" ht="16.5" customHeight="1">
      <c r="A3" s="45" t="s">
        <v>27</v>
      </c>
      <c r="B3" s="48" t="s">
        <v>32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</row>
    <row r="4" spans="1:85" s="4" customFormat="1" ht="15" customHeight="1">
      <c r="A4" s="46"/>
      <c r="B4" s="49" t="s">
        <v>33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1"/>
      <c r="W4" s="49" t="s">
        <v>34</v>
      </c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1"/>
      <c r="AR4" s="49" t="s">
        <v>22</v>
      </c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1"/>
      <c r="BM4" s="48" t="s">
        <v>23</v>
      </c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</row>
    <row r="5" spans="1:85" s="4" customFormat="1" ht="15" customHeight="1">
      <c r="A5" s="46"/>
      <c r="B5" s="42">
        <v>2010</v>
      </c>
      <c r="C5" s="43"/>
      <c r="D5" s="44"/>
      <c r="E5" s="42">
        <v>2011</v>
      </c>
      <c r="F5" s="43"/>
      <c r="G5" s="44"/>
      <c r="H5" s="42">
        <v>2012</v>
      </c>
      <c r="I5" s="43"/>
      <c r="J5" s="44"/>
      <c r="K5" s="42">
        <v>2013</v>
      </c>
      <c r="L5" s="43"/>
      <c r="M5" s="44"/>
      <c r="N5" s="42">
        <v>2014</v>
      </c>
      <c r="O5" s="43"/>
      <c r="P5" s="44"/>
      <c r="Q5" s="42">
        <v>2015</v>
      </c>
      <c r="R5" s="43"/>
      <c r="S5" s="44"/>
      <c r="T5" s="42">
        <v>2016</v>
      </c>
      <c r="U5" s="43"/>
      <c r="V5" s="44"/>
      <c r="W5" s="42">
        <v>2010</v>
      </c>
      <c r="X5" s="43"/>
      <c r="Y5" s="44"/>
      <c r="Z5" s="42">
        <v>2011</v>
      </c>
      <c r="AA5" s="43"/>
      <c r="AB5" s="44"/>
      <c r="AC5" s="42">
        <v>2012</v>
      </c>
      <c r="AD5" s="43"/>
      <c r="AE5" s="44"/>
      <c r="AF5" s="42">
        <v>2013</v>
      </c>
      <c r="AG5" s="43"/>
      <c r="AH5" s="44"/>
      <c r="AI5" s="42">
        <v>2014</v>
      </c>
      <c r="AJ5" s="43"/>
      <c r="AK5" s="44"/>
      <c r="AL5" s="42">
        <v>2015</v>
      </c>
      <c r="AM5" s="43"/>
      <c r="AN5" s="44"/>
      <c r="AO5" s="42">
        <v>2016</v>
      </c>
      <c r="AP5" s="43"/>
      <c r="AQ5" s="44"/>
      <c r="AR5" s="42">
        <v>2010</v>
      </c>
      <c r="AS5" s="43"/>
      <c r="AT5" s="44"/>
      <c r="AU5" s="42">
        <v>2011</v>
      </c>
      <c r="AV5" s="43"/>
      <c r="AW5" s="44"/>
      <c r="AX5" s="42">
        <v>2012</v>
      </c>
      <c r="AY5" s="43"/>
      <c r="AZ5" s="44"/>
      <c r="BA5" s="42">
        <v>2013</v>
      </c>
      <c r="BB5" s="43"/>
      <c r="BC5" s="44"/>
      <c r="BD5" s="42">
        <v>2014</v>
      </c>
      <c r="BE5" s="43"/>
      <c r="BF5" s="44"/>
      <c r="BG5" s="42">
        <v>2015</v>
      </c>
      <c r="BH5" s="43"/>
      <c r="BI5" s="44"/>
      <c r="BJ5" s="42">
        <v>2016</v>
      </c>
      <c r="BK5" s="43"/>
      <c r="BL5" s="44"/>
      <c r="BM5" s="42">
        <v>2010</v>
      </c>
      <c r="BN5" s="43"/>
      <c r="BO5" s="44"/>
      <c r="BP5" s="42">
        <v>2011</v>
      </c>
      <c r="BQ5" s="43"/>
      <c r="BR5" s="44"/>
      <c r="BS5" s="42">
        <v>2012</v>
      </c>
      <c r="BT5" s="43"/>
      <c r="BU5" s="44"/>
      <c r="BV5" s="42">
        <v>2013</v>
      </c>
      <c r="BW5" s="43"/>
      <c r="BX5" s="44"/>
      <c r="BY5" s="42">
        <v>2014</v>
      </c>
      <c r="BZ5" s="43"/>
      <c r="CA5" s="44"/>
      <c r="CB5" s="42">
        <v>2015</v>
      </c>
      <c r="CC5" s="43"/>
      <c r="CD5" s="44"/>
      <c r="CE5" s="42">
        <v>2016</v>
      </c>
      <c r="CF5" s="43"/>
      <c r="CG5" s="44"/>
    </row>
    <row r="6" spans="1:85" s="4" customFormat="1" ht="48" customHeight="1">
      <c r="A6" s="47"/>
      <c r="B6" s="11" t="s">
        <v>29</v>
      </c>
      <c r="C6" s="11" t="s">
        <v>30</v>
      </c>
      <c r="D6" s="11" t="s">
        <v>31</v>
      </c>
      <c r="E6" s="11" t="s">
        <v>29</v>
      </c>
      <c r="F6" s="11" t="s">
        <v>30</v>
      </c>
      <c r="G6" s="11" t="s">
        <v>31</v>
      </c>
      <c r="H6" s="11" t="s">
        <v>29</v>
      </c>
      <c r="I6" s="11" t="s">
        <v>30</v>
      </c>
      <c r="J6" s="11" t="s">
        <v>31</v>
      </c>
      <c r="K6" s="11" t="s">
        <v>29</v>
      </c>
      <c r="L6" s="11" t="s">
        <v>30</v>
      </c>
      <c r="M6" s="11" t="s">
        <v>31</v>
      </c>
      <c r="N6" s="11" t="s">
        <v>29</v>
      </c>
      <c r="O6" s="11" t="s">
        <v>30</v>
      </c>
      <c r="P6" s="11" t="s">
        <v>31</v>
      </c>
      <c r="Q6" s="11" t="s">
        <v>29</v>
      </c>
      <c r="R6" s="11" t="s">
        <v>30</v>
      </c>
      <c r="S6" s="11" t="s">
        <v>31</v>
      </c>
      <c r="T6" s="11" t="s">
        <v>29</v>
      </c>
      <c r="U6" s="11" t="s">
        <v>30</v>
      </c>
      <c r="V6" s="11" t="s">
        <v>31</v>
      </c>
      <c r="W6" s="11" t="s">
        <v>29</v>
      </c>
      <c r="X6" s="11" t="s">
        <v>30</v>
      </c>
      <c r="Y6" s="11" t="s">
        <v>31</v>
      </c>
      <c r="Z6" s="11" t="s">
        <v>29</v>
      </c>
      <c r="AA6" s="11" t="s">
        <v>30</v>
      </c>
      <c r="AB6" s="11" t="s">
        <v>31</v>
      </c>
      <c r="AC6" s="11" t="s">
        <v>29</v>
      </c>
      <c r="AD6" s="11" t="s">
        <v>30</v>
      </c>
      <c r="AE6" s="11" t="s">
        <v>31</v>
      </c>
      <c r="AF6" s="11" t="s">
        <v>29</v>
      </c>
      <c r="AG6" s="11" t="s">
        <v>30</v>
      </c>
      <c r="AH6" s="11" t="s">
        <v>31</v>
      </c>
      <c r="AI6" s="11" t="s">
        <v>29</v>
      </c>
      <c r="AJ6" s="11" t="s">
        <v>30</v>
      </c>
      <c r="AK6" s="11" t="s">
        <v>31</v>
      </c>
      <c r="AL6" s="11" t="s">
        <v>29</v>
      </c>
      <c r="AM6" s="11" t="s">
        <v>30</v>
      </c>
      <c r="AN6" s="11" t="s">
        <v>31</v>
      </c>
      <c r="AO6" s="11" t="s">
        <v>29</v>
      </c>
      <c r="AP6" s="11" t="s">
        <v>30</v>
      </c>
      <c r="AQ6" s="11" t="s">
        <v>31</v>
      </c>
      <c r="AR6" s="11" t="s">
        <v>29</v>
      </c>
      <c r="AS6" s="11" t="s">
        <v>30</v>
      </c>
      <c r="AT6" s="11" t="s">
        <v>31</v>
      </c>
      <c r="AU6" s="11" t="s">
        <v>29</v>
      </c>
      <c r="AV6" s="11" t="s">
        <v>30</v>
      </c>
      <c r="AW6" s="11" t="s">
        <v>31</v>
      </c>
      <c r="AX6" s="11" t="s">
        <v>29</v>
      </c>
      <c r="AY6" s="11" t="s">
        <v>30</v>
      </c>
      <c r="AZ6" s="11" t="s">
        <v>31</v>
      </c>
      <c r="BA6" s="11" t="s">
        <v>29</v>
      </c>
      <c r="BB6" s="11" t="s">
        <v>30</v>
      </c>
      <c r="BC6" s="11" t="s">
        <v>31</v>
      </c>
      <c r="BD6" s="11" t="s">
        <v>29</v>
      </c>
      <c r="BE6" s="11" t="s">
        <v>30</v>
      </c>
      <c r="BF6" s="11" t="s">
        <v>31</v>
      </c>
      <c r="BG6" s="11" t="s">
        <v>29</v>
      </c>
      <c r="BH6" s="11" t="s">
        <v>30</v>
      </c>
      <c r="BI6" s="11" t="s">
        <v>31</v>
      </c>
      <c r="BJ6" s="11" t="s">
        <v>29</v>
      </c>
      <c r="BK6" s="11" t="s">
        <v>30</v>
      </c>
      <c r="BL6" s="11" t="s">
        <v>31</v>
      </c>
      <c r="BM6" s="11" t="s">
        <v>29</v>
      </c>
      <c r="BN6" s="11" t="s">
        <v>30</v>
      </c>
      <c r="BO6" s="11" t="s">
        <v>31</v>
      </c>
      <c r="BP6" s="11" t="s">
        <v>29</v>
      </c>
      <c r="BQ6" s="11" t="s">
        <v>30</v>
      </c>
      <c r="BR6" s="11" t="s">
        <v>31</v>
      </c>
      <c r="BS6" s="11" t="s">
        <v>29</v>
      </c>
      <c r="BT6" s="11" t="s">
        <v>30</v>
      </c>
      <c r="BU6" s="11" t="s">
        <v>31</v>
      </c>
      <c r="BV6" s="11" t="s">
        <v>29</v>
      </c>
      <c r="BW6" s="11" t="s">
        <v>30</v>
      </c>
      <c r="BX6" s="11" t="s">
        <v>31</v>
      </c>
      <c r="BY6" s="11" t="s">
        <v>29</v>
      </c>
      <c r="BZ6" s="11" t="s">
        <v>30</v>
      </c>
      <c r="CA6" s="11" t="s">
        <v>31</v>
      </c>
      <c r="CB6" s="11" t="s">
        <v>29</v>
      </c>
      <c r="CC6" s="11" t="s">
        <v>30</v>
      </c>
      <c r="CD6" s="11" t="s">
        <v>31</v>
      </c>
      <c r="CE6" s="11" t="s">
        <v>29</v>
      </c>
      <c r="CF6" s="11" t="s">
        <v>30</v>
      </c>
      <c r="CG6" s="11" t="s">
        <v>31</v>
      </c>
    </row>
    <row r="7" spans="1:85" s="4" customFormat="1" ht="16.5" customHeight="1">
      <c r="A7" s="1" t="s">
        <v>14</v>
      </c>
      <c r="B7" s="1">
        <v>1481</v>
      </c>
      <c r="C7" s="1">
        <v>465</v>
      </c>
      <c r="D7" s="1">
        <v>1016</v>
      </c>
      <c r="E7" s="1">
        <v>1513</v>
      </c>
      <c r="F7" s="1">
        <v>471</v>
      </c>
      <c r="G7" s="1">
        <v>1042</v>
      </c>
      <c r="H7" s="1">
        <v>1544</v>
      </c>
      <c r="I7" s="1">
        <v>476</v>
      </c>
      <c r="J7" s="1">
        <v>1068</v>
      </c>
      <c r="K7" s="1">
        <v>1595</v>
      </c>
      <c r="L7" s="1">
        <v>491</v>
      </c>
      <c r="M7" s="1">
        <v>1104</v>
      </c>
      <c r="N7" s="1">
        <v>1610</v>
      </c>
      <c r="O7" s="1">
        <v>498</v>
      </c>
      <c r="P7" s="1">
        <v>1112</v>
      </c>
      <c r="Q7" s="1">
        <v>1662</v>
      </c>
      <c r="R7" s="1">
        <v>424</v>
      </c>
      <c r="S7" s="1">
        <v>1236</v>
      </c>
      <c r="T7" s="1">
        <v>1741</v>
      </c>
      <c r="U7" s="1">
        <v>931</v>
      </c>
      <c r="V7" s="1">
        <v>810</v>
      </c>
      <c r="W7" s="1">
        <v>415</v>
      </c>
      <c r="X7" s="1">
        <v>252</v>
      </c>
      <c r="Y7" s="1">
        <v>163</v>
      </c>
      <c r="Z7" s="1">
        <v>459</v>
      </c>
      <c r="AA7" s="1">
        <v>263</v>
      </c>
      <c r="AB7" s="1">
        <v>196</v>
      </c>
      <c r="AC7" s="1">
        <v>467</v>
      </c>
      <c r="AD7" s="1">
        <v>197</v>
      </c>
      <c r="AE7" s="1">
        <v>270</v>
      </c>
      <c r="AF7" s="1">
        <v>461</v>
      </c>
      <c r="AG7" s="1">
        <v>270</v>
      </c>
      <c r="AH7" s="1">
        <v>191</v>
      </c>
      <c r="AI7" s="1">
        <v>394</v>
      </c>
      <c r="AJ7" s="1">
        <v>226</v>
      </c>
      <c r="AK7" s="1">
        <v>168</v>
      </c>
      <c r="AL7" s="1">
        <v>352</v>
      </c>
      <c r="AM7" s="1">
        <v>167</v>
      </c>
      <c r="AN7" s="1">
        <v>185</v>
      </c>
      <c r="AO7" s="1">
        <v>331</v>
      </c>
      <c r="AP7" s="1">
        <v>244</v>
      </c>
      <c r="AQ7" s="1">
        <v>87</v>
      </c>
      <c r="AR7" s="1">
        <v>108</v>
      </c>
      <c r="AS7" s="1">
        <v>41</v>
      </c>
      <c r="AT7" s="1">
        <v>67</v>
      </c>
      <c r="AU7" s="1">
        <v>126</v>
      </c>
      <c r="AV7" s="1">
        <v>44</v>
      </c>
      <c r="AW7" s="1">
        <v>82</v>
      </c>
      <c r="AX7" s="1">
        <v>117</v>
      </c>
      <c r="AY7" s="1">
        <v>38</v>
      </c>
      <c r="AZ7" s="1">
        <v>79</v>
      </c>
      <c r="BA7" s="1">
        <v>112</v>
      </c>
      <c r="BB7" s="1">
        <v>20</v>
      </c>
      <c r="BC7" s="1">
        <v>92</v>
      </c>
      <c r="BD7" s="1">
        <v>90</v>
      </c>
      <c r="BE7" s="1">
        <v>14</v>
      </c>
      <c r="BF7" s="1">
        <v>76</v>
      </c>
      <c r="BG7" s="1">
        <v>89</v>
      </c>
      <c r="BH7" s="1">
        <v>13</v>
      </c>
      <c r="BI7" s="1">
        <v>76</v>
      </c>
      <c r="BJ7" s="1">
        <v>90</v>
      </c>
      <c r="BK7" s="1">
        <v>56</v>
      </c>
      <c r="BL7" s="1">
        <v>34</v>
      </c>
      <c r="BM7" s="1">
        <v>62</v>
      </c>
      <c r="BN7" s="1">
        <v>62</v>
      </c>
      <c r="BO7" s="1">
        <v>0</v>
      </c>
      <c r="BP7" s="1">
        <v>70</v>
      </c>
      <c r="BQ7" s="1">
        <v>70</v>
      </c>
      <c r="BR7" s="1">
        <v>0</v>
      </c>
      <c r="BS7" s="1">
        <v>75</v>
      </c>
      <c r="BT7" s="1">
        <v>75</v>
      </c>
      <c r="BU7" s="1">
        <v>0</v>
      </c>
      <c r="BV7" s="1">
        <v>84</v>
      </c>
      <c r="BW7" s="1">
        <v>84</v>
      </c>
      <c r="BX7" s="1">
        <v>0</v>
      </c>
      <c r="BY7" s="1">
        <v>86</v>
      </c>
      <c r="BZ7" s="1">
        <v>81</v>
      </c>
      <c r="CA7" s="18">
        <v>5</v>
      </c>
      <c r="CB7" s="1">
        <v>88</v>
      </c>
      <c r="CC7" s="1">
        <v>82</v>
      </c>
      <c r="CD7" s="1">
        <v>6</v>
      </c>
      <c r="CE7" s="1">
        <v>91</v>
      </c>
      <c r="CF7" s="1">
        <v>83</v>
      </c>
      <c r="CG7" s="1">
        <v>8</v>
      </c>
    </row>
    <row r="8" spans="1:85" s="4" customFormat="1" ht="16.5" customHeight="1">
      <c r="A8" s="1" t="s">
        <v>15</v>
      </c>
      <c r="B8" s="1">
        <v>265</v>
      </c>
      <c r="C8" s="1">
        <v>81</v>
      </c>
      <c r="D8" s="1">
        <v>184</v>
      </c>
      <c r="E8" s="1">
        <v>281</v>
      </c>
      <c r="F8" s="1">
        <v>86</v>
      </c>
      <c r="G8" s="1">
        <v>195</v>
      </c>
      <c r="H8" s="1">
        <v>278</v>
      </c>
      <c r="I8" s="1">
        <v>85</v>
      </c>
      <c r="J8" s="1">
        <v>193</v>
      </c>
      <c r="K8" s="1">
        <v>278</v>
      </c>
      <c r="L8" s="1">
        <v>79</v>
      </c>
      <c r="M8" s="1">
        <v>199</v>
      </c>
      <c r="N8" s="1">
        <v>291</v>
      </c>
      <c r="O8" s="1">
        <v>78</v>
      </c>
      <c r="P8" s="1">
        <v>213</v>
      </c>
      <c r="Q8" s="1">
        <v>294</v>
      </c>
      <c r="R8" s="1">
        <v>75</v>
      </c>
      <c r="S8" s="1">
        <v>219</v>
      </c>
      <c r="T8" s="1">
        <v>300</v>
      </c>
      <c r="U8" s="1">
        <v>112</v>
      </c>
      <c r="V8" s="1">
        <v>188</v>
      </c>
      <c r="W8" s="1">
        <v>63</v>
      </c>
      <c r="X8" s="1">
        <v>39</v>
      </c>
      <c r="Y8" s="1">
        <v>24</v>
      </c>
      <c r="Z8" s="1">
        <v>75</v>
      </c>
      <c r="AA8" s="1">
        <v>43</v>
      </c>
      <c r="AB8" s="1">
        <v>32</v>
      </c>
      <c r="AC8" s="1">
        <v>76</v>
      </c>
      <c r="AD8" s="1">
        <v>44</v>
      </c>
      <c r="AE8" s="1">
        <v>32</v>
      </c>
      <c r="AF8" s="1">
        <v>73</v>
      </c>
      <c r="AG8" s="1">
        <v>42</v>
      </c>
      <c r="AH8" s="1">
        <v>31</v>
      </c>
      <c r="AI8" s="1">
        <v>67</v>
      </c>
      <c r="AJ8" s="1">
        <v>41</v>
      </c>
      <c r="AK8" s="1">
        <v>26</v>
      </c>
      <c r="AL8" s="1">
        <v>56</v>
      </c>
      <c r="AM8" s="1">
        <v>26</v>
      </c>
      <c r="AN8" s="1">
        <v>30</v>
      </c>
      <c r="AO8" s="1">
        <v>58</v>
      </c>
      <c r="AP8" s="1">
        <v>43</v>
      </c>
      <c r="AQ8" s="1">
        <v>15</v>
      </c>
      <c r="AR8" s="1">
        <v>10</v>
      </c>
      <c r="AS8" s="1">
        <v>5</v>
      </c>
      <c r="AT8" s="1">
        <v>5</v>
      </c>
      <c r="AU8" s="1">
        <v>15</v>
      </c>
      <c r="AV8" s="1">
        <v>6</v>
      </c>
      <c r="AW8" s="1">
        <v>9</v>
      </c>
      <c r="AX8" s="1">
        <v>16</v>
      </c>
      <c r="AY8" s="1">
        <v>7</v>
      </c>
      <c r="AZ8" s="1">
        <v>9</v>
      </c>
      <c r="BA8" s="1">
        <v>16</v>
      </c>
      <c r="BB8" s="1">
        <v>4</v>
      </c>
      <c r="BC8" s="1">
        <v>12</v>
      </c>
      <c r="BD8" s="1">
        <v>15</v>
      </c>
      <c r="BE8" s="1">
        <v>2</v>
      </c>
      <c r="BF8" s="1">
        <v>13</v>
      </c>
      <c r="BG8" s="1">
        <v>17</v>
      </c>
      <c r="BH8" s="1">
        <v>1</v>
      </c>
      <c r="BI8" s="1">
        <v>16</v>
      </c>
      <c r="BJ8" s="1">
        <v>15</v>
      </c>
      <c r="BK8" s="1">
        <v>12</v>
      </c>
      <c r="BL8" s="1">
        <v>3</v>
      </c>
      <c r="BM8" s="1">
        <v>1</v>
      </c>
      <c r="BN8" s="1">
        <v>1</v>
      </c>
      <c r="BO8" s="1">
        <v>0</v>
      </c>
      <c r="BP8" s="1">
        <v>2</v>
      </c>
      <c r="BQ8" s="1">
        <v>2</v>
      </c>
      <c r="BR8" s="1">
        <v>0</v>
      </c>
      <c r="BS8" s="1">
        <v>2</v>
      </c>
      <c r="BT8" s="1">
        <v>2</v>
      </c>
      <c r="BU8" s="1">
        <v>0</v>
      </c>
      <c r="BV8" s="1">
        <v>2</v>
      </c>
      <c r="BW8" s="1">
        <v>2</v>
      </c>
      <c r="BX8" s="1">
        <v>0</v>
      </c>
      <c r="BY8" s="1">
        <v>3</v>
      </c>
      <c r="BZ8" s="1">
        <v>3</v>
      </c>
      <c r="CA8" s="18">
        <v>0</v>
      </c>
      <c r="CB8" s="1">
        <v>2</v>
      </c>
      <c r="CC8" s="1">
        <v>2</v>
      </c>
      <c r="CD8" s="1">
        <v>0</v>
      </c>
      <c r="CE8" s="1">
        <v>2</v>
      </c>
      <c r="CF8" s="1">
        <v>2</v>
      </c>
      <c r="CG8" s="1">
        <v>0</v>
      </c>
    </row>
    <row r="9" spans="1:85" s="4" customFormat="1" ht="16.5" customHeight="1">
      <c r="A9" s="1" t="s">
        <v>5</v>
      </c>
      <c r="B9" s="1">
        <v>121</v>
      </c>
      <c r="C9" s="1">
        <v>38</v>
      </c>
      <c r="D9" s="1">
        <v>83</v>
      </c>
      <c r="E9" s="1">
        <v>133</v>
      </c>
      <c r="F9" s="1">
        <v>43</v>
      </c>
      <c r="G9" s="1">
        <v>90</v>
      </c>
      <c r="H9" s="1">
        <v>129</v>
      </c>
      <c r="I9" s="1">
        <v>43</v>
      </c>
      <c r="J9" s="1">
        <v>86</v>
      </c>
      <c r="K9" s="1">
        <v>125</v>
      </c>
      <c r="L9" s="1">
        <v>42</v>
      </c>
      <c r="M9" s="1">
        <v>83</v>
      </c>
      <c r="N9" s="1">
        <v>128</v>
      </c>
      <c r="O9" s="1">
        <v>45</v>
      </c>
      <c r="P9" s="1">
        <v>83</v>
      </c>
      <c r="Q9" s="1">
        <v>131</v>
      </c>
      <c r="R9" s="1">
        <v>37</v>
      </c>
      <c r="S9" s="1">
        <v>94</v>
      </c>
      <c r="T9" s="1">
        <v>131</v>
      </c>
      <c r="U9" s="1">
        <v>68</v>
      </c>
      <c r="V9" s="1">
        <v>63</v>
      </c>
      <c r="W9" s="1">
        <v>14</v>
      </c>
      <c r="X9" s="1">
        <v>8</v>
      </c>
      <c r="Y9" s="1">
        <v>6</v>
      </c>
      <c r="Z9" s="1">
        <v>21</v>
      </c>
      <c r="AA9" s="1">
        <v>13</v>
      </c>
      <c r="AB9" s="1">
        <v>8</v>
      </c>
      <c r="AC9" s="1">
        <v>18</v>
      </c>
      <c r="AD9" s="1">
        <v>12</v>
      </c>
      <c r="AE9" s="1">
        <v>6</v>
      </c>
      <c r="AF9" s="1">
        <v>16</v>
      </c>
      <c r="AG9" s="1">
        <v>11</v>
      </c>
      <c r="AH9" s="1">
        <v>5</v>
      </c>
      <c r="AI9" s="1">
        <v>13</v>
      </c>
      <c r="AJ9" s="1">
        <v>10</v>
      </c>
      <c r="AK9" s="1">
        <v>3</v>
      </c>
      <c r="AL9" s="1">
        <v>12</v>
      </c>
      <c r="AM9" s="1">
        <v>9</v>
      </c>
      <c r="AN9" s="1">
        <v>3</v>
      </c>
      <c r="AO9" s="1">
        <v>11</v>
      </c>
      <c r="AP9" s="1">
        <v>8</v>
      </c>
      <c r="AQ9" s="1">
        <v>3</v>
      </c>
      <c r="AR9" s="1">
        <v>3</v>
      </c>
      <c r="AS9" s="1">
        <v>1</v>
      </c>
      <c r="AT9" s="1">
        <v>2</v>
      </c>
      <c r="AU9" s="1">
        <v>6</v>
      </c>
      <c r="AV9" s="1">
        <v>3</v>
      </c>
      <c r="AW9" s="1">
        <v>3</v>
      </c>
      <c r="AX9" s="1">
        <v>5</v>
      </c>
      <c r="AY9" s="1">
        <v>2</v>
      </c>
      <c r="AZ9" s="1">
        <v>3</v>
      </c>
      <c r="BA9" s="1">
        <v>5</v>
      </c>
      <c r="BB9" s="1">
        <v>1</v>
      </c>
      <c r="BC9" s="1">
        <v>4</v>
      </c>
      <c r="BD9" s="1">
        <v>5</v>
      </c>
      <c r="BE9" s="1">
        <v>0</v>
      </c>
      <c r="BF9" s="1">
        <v>5</v>
      </c>
      <c r="BG9" s="1">
        <v>5</v>
      </c>
      <c r="BH9" s="1"/>
      <c r="BI9" s="1">
        <v>5</v>
      </c>
      <c r="BJ9" s="1">
        <v>5</v>
      </c>
      <c r="BK9" s="1">
        <v>1</v>
      </c>
      <c r="BL9" s="1">
        <v>4</v>
      </c>
      <c r="BM9" s="1">
        <v>1</v>
      </c>
      <c r="BN9" s="1">
        <v>1</v>
      </c>
      <c r="BO9" s="1">
        <v>0</v>
      </c>
      <c r="BP9" s="1">
        <v>2</v>
      </c>
      <c r="BQ9" s="1">
        <v>2</v>
      </c>
      <c r="BR9" s="1">
        <v>0</v>
      </c>
      <c r="BS9" s="1">
        <v>2</v>
      </c>
      <c r="BT9" s="1">
        <v>2</v>
      </c>
      <c r="BU9" s="1">
        <v>0</v>
      </c>
      <c r="BV9" s="1">
        <v>2</v>
      </c>
      <c r="BW9" s="1">
        <v>2</v>
      </c>
      <c r="BX9" s="1">
        <v>0</v>
      </c>
      <c r="BY9" s="1">
        <v>1</v>
      </c>
      <c r="BZ9" s="1">
        <v>1</v>
      </c>
      <c r="CA9" s="18">
        <v>0</v>
      </c>
      <c r="CB9" s="1">
        <v>1</v>
      </c>
      <c r="CC9" s="1">
        <v>1</v>
      </c>
      <c r="CD9" s="1">
        <v>0</v>
      </c>
      <c r="CE9" s="1">
        <v>1</v>
      </c>
      <c r="CF9" s="1">
        <v>1</v>
      </c>
      <c r="CG9" s="1">
        <v>0</v>
      </c>
    </row>
    <row r="10" spans="1:85" s="4" customFormat="1" ht="16.5" customHeight="1">
      <c r="A10" s="1" t="s">
        <v>3</v>
      </c>
      <c r="B10" s="1">
        <v>139</v>
      </c>
      <c r="C10" s="1">
        <v>46</v>
      </c>
      <c r="D10" s="1">
        <v>93</v>
      </c>
      <c r="E10" s="1">
        <v>156</v>
      </c>
      <c r="F10" s="1">
        <v>51</v>
      </c>
      <c r="G10" s="1">
        <v>105</v>
      </c>
      <c r="H10" s="1">
        <v>160</v>
      </c>
      <c r="I10" s="1">
        <v>56</v>
      </c>
      <c r="J10" s="1">
        <v>104</v>
      </c>
      <c r="K10" s="1">
        <v>158</v>
      </c>
      <c r="L10" s="1">
        <v>56</v>
      </c>
      <c r="M10" s="1">
        <v>102</v>
      </c>
      <c r="N10" s="1">
        <v>171</v>
      </c>
      <c r="O10" s="1">
        <v>57</v>
      </c>
      <c r="P10" s="1">
        <v>114</v>
      </c>
      <c r="Q10" s="1">
        <v>173</v>
      </c>
      <c r="R10" s="1">
        <v>49</v>
      </c>
      <c r="S10" s="1">
        <v>124</v>
      </c>
      <c r="T10" s="1">
        <v>168</v>
      </c>
      <c r="U10" s="1">
        <v>86</v>
      </c>
      <c r="V10" s="1">
        <v>82</v>
      </c>
      <c r="W10" s="1">
        <v>35</v>
      </c>
      <c r="X10" s="1">
        <v>21</v>
      </c>
      <c r="Y10" s="1">
        <v>14</v>
      </c>
      <c r="Z10" s="1">
        <v>48</v>
      </c>
      <c r="AA10" s="1">
        <v>26</v>
      </c>
      <c r="AB10" s="1">
        <v>22</v>
      </c>
      <c r="AC10" s="1">
        <v>47</v>
      </c>
      <c r="AD10" s="1">
        <v>25</v>
      </c>
      <c r="AE10" s="1">
        <v>22</v>
      </c>
      <c r="AF10" s="1">
        <v>47</v>
      </c>
      <c r="AG10" s="1">
        <v>26</v>
      </c>
      <c r="AH10" s="1">
        <v>21</v>
      </c>
      <c r="AI10" s="1">
        <v>48</v>
      </c>
      <c r="AJ10" s="1">
        <v>26</v>
      </c>
      <c r="AK10" s="1">
        <v>22</v>
      </c>
      <c r="AL10" s="1">
        <v>51</v>
      </c>
      <c r="AM10" s="1">
        <v>30</v>
      </c>
      <c r="AN10" s="1">
        <v>21</v>
      </c>
      <c r="AO10" s="1">
        <v>50</v>
      </c>
      <c r="AP10" s="1">
        <v>37</v>
      </c>
      <c r="AQ10" s="1">
        <v>13</v>
      </c>
      <c r="AR10" s="1">
        <v>6</v>
      </c>
      <c r="AS10" s="1">
        <v>3</v>
      </c>
      <c r="AT10" s="1">
        <v>3</v>
      </c>
      <c r="AU10" s="1">
        <v>10</v>
      </c>
      <c r="AV10" s="1">
        <v>3</v>
      </c>
      <c r="AW10" s="1">
        <v>7</v>
      </c>
      <c r="AX10" s="1">
        <v>10</v>
      </c>
      <c r="AY10" s="1">
        <v>3</v>
      </c>
      <c r="AZ10" s="1">
        <v>7</v>
      </c>
      <c r="BA10" s="1">
        <v>9</v>
      </c>
      <c r="BB10" s="1">
        <v>3</v>
      </c>
      <c r="BC10" s="1">
        <v>6</v>
      </c>
      <c r="BD10" s="1">
        <v>10</v>
      </c>
      <c r="BE10" s="1">
        <v>4</v>
      </c>
      <c r="BF10" s="1">
        <v>6</v>
      </c>
      <c r="BG10" s="1">
        <v>11</v>
      </c>
      <c r="BH10" s="1">
        <v>4</v>
      </c>
      <c r="BI10" s="1">
        <v>7</v>
      </c>
      <c r="BJ10" s="1">
        <v>11</v>
      </c>
      <c r="BK10" s="1">
        <v>8</v>
      </c>
      <c r="BL10" s="1">
        <v>3</v>
      </c>
      <c r="BM10" s="1">
        <v>1</v>
      </c>
      <c r="BN10" s="1">
        <v>1</v>
      </c>
      <c r="BO10" s="1">
        <v>0</v>
      </c>
      <c r="BP10" s="1">
        <v>2</v>
      </c>
      <c r="BQ10" s="1">
        <v>2</v>
      </c>
      <c r="BR10" s="1">
        <v>0</v>
      </c>
      <c r="BS10" s="1">
        <v>2</v>
      </c>
      <c r="BT10" s="1">
        <v>2</v>
      </c>
      <c r="BU10" s="1">
        <v>0</v>
      </c>
      <c r="BV10" s="1">
        <v>2</v>
      </c>
      <c r="BW10" s="1">
        <v>2</v>
      </c>
      <c r="BX10" s="1">
        <v>0</v>
      </c>
      <c r="BY10" s="1">
        <v>2</v>
      </c>
      <c r="BZ10" s="1">
        <v>2</v>
      </c>
      <c r="CA10" s="18">
        <v>0</v>
      </c>
      <c r="CB10" s="1">
        <v>2</v>
      </c>
      <c r="CC10" s="1">
        <v>2</v>
      </c>
      <c r="CD10" s="1">
        <v>0</v>
      </c>
      <c r="CE10" s="1">
        <v>2</v>
      </c>
      <c r="CF10" s="1">
        <v>2</v>
      </c>
      <c r="CG10" s="1">
        <v>0</v>
      </c>
    </row>
    <row r="11" spans="1:85" s="4" customFormat="1" ht="16.5" customHeight="1">
      <c r="A11" s="1" t="s">
        <v>7</v>
      </c>
      <c r="B11" s="1">
        <v>199</v>
      </c>
      <c r="C11" s="1">
        <v>69</v>
      </c>
      <c r="D11" s="1">
        <v>130</v>
      </c>
      <c r="E11" s="1">
        <v>220</v>
      </c>
      <c r="F11" s="1">
        <v>74</v>
      </c>
      <c r="G11" s="1">
        <v>146</v>
      </c>
      <c r="H11" s="1">
        <v>223</v>
      </c>
      <c r="I11" s="1">
        <v>75</v>
      </c>
      <c r="J11" s="1">
        <v>48</v>
      </c>
      <c r="K11" s="1">
        <v>217</v>
      </c>
      <c r="L11" s="1">
        <v>72</v>
      </c>
      <c r="M11" s="1">
        <v>145</v>
      </c>
      <c r="N11" s="1">
        <v>221</v>
      </c>
      <c r="O11" s="1">
        <v>71</v>
      </c>
      <c r="P11" s="1">
        <v>150</v>
      </c>
      <c r="Q11" s="1">
        <v>226</v>
      </c>
      <c r="R11" s="1">
        <v>70</v>
      </c>
      <c r="S11" s="1">
        <v>156</v>
      </c>
      <c r="T11" s="1">
        <v>231</v>
      </c>
      <c r="U11" s="1">
        <v>115</v>
      </c>
      <c r="V11" s="1">
        <v>116</v>
      </c>
      <c r="W11" s="1">
        <v>41</v>
      </c>
      <c r="X11" s="1">
        <v>31</v>
      </c>
      <c r="Y11" s="1">
        <v>10</v>
      </c>
      <c r="Z11" s="1">
        <v>59</v>
      </c>
      <c r="AA11" s="1">
        <v>34</v>
      </c>
      <c r="AB11" s="1">
        <v>25</v>
      </c>
      <c r="AC11" s="1">
        <v>58</v>
      </c>
      <c r="AD11" s="1">
        <v>36</v>
      </c>
      <c r="AE11" s="1">
        <v>22</v>
      </c>
      <c r="AF11" s="1">
        <v>55</v>
      </c>
      <c r="AG11" s="1">
        <v>34</v>
      </c>
      <c r="AH11" s="1">
        <v>21</v>
      </c>
      <c r="AI11" s="1">
        <v>52</v>
      </c>
      <c r="AJ11" s="1">
        <v>33</v>
      </c>
      <c r="AK11" s="1">
        <v>19</v>
      </c>
      <c r="AL11" s="1">
        <v>42</v>
      </c>
      <c r="AM11" s="1">
        <v>23</v>
      </c>
      <c r="AN11" s="1">
        <v>19</v>
      </c>
      <c r="AO11" s="1">
        <v>35</v>
      </c>
      <c r="AP11" s="1">
        <v>29</v>
      </c>
      <c r="AQ11" s="1">
        <v>6</v>
      </c>
      <c r="AR11" s="1">
        <v>7</v>
      </c>
      <c r="AS11" s="1">
        <v>1</v>
      </c>
      <c r="AT11" s="1">
        <v>6</v>
      </c>
      <c r="AU11" s="1">
        <v>12</v>
      </c>
      <c r="AV11" s="1">
        <v>1</v>
      </c>
      <c r="AW11" s="1">
        <v>11</v>
      </c>
      <c r="AX11" s="1">
        <v>13</v>
      </c>
      <c r="AY11" s="1">
        <v>2</v>
      </c>
      <c r="AZ11" s="1">
        <v>11</v>
      </c>
      <c r="BA11" s="1">
        <v>12</v>
      </c>
      <c r="BB11" s="1">
        <v>3</v>
      </c>
      <c r="BC11" s="1">
        <v>9</v>
      </c>
      <c r="BD11" s="1">
        <v>8</v>
      </c>
      <c r="BE11" s="1">
        <v>3</v>
      </c>
      <c r="BF11" s="1">
        <v>5</v>
      </c>
      <c r="BG11" s="1">
        <v>9</v>
      </c>
      <c r="BH11" s="1">
        <v>2</v>
      </c>
      <c r="BI11" s="1">
        <v>7</v>
      </c>
      <c r="BJ11" s="1">
        <v>9</v>
      </c>
      <c r="BK11" s="1">
        <v>5</v>
      </c>
      <c r="BL11" s="1">
        <v>4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8">
        <v>0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0</v>
      </c>
    </row>
    <row r="12" spans="1:85" s="4" customFormat="1" ht="16.5" customHeight="1">
      <c r="A12" s="1" t="s">
        <v>11</v>
      </c>
      <c r="B12" s="1">
        <v>225</v>
      </c>
      <c r="C12" s="1">
        <v>71</v>
      </c>
      <c r="D12" s="1">
        <v>154</v>
      </c>
      <c r="E12" s="1">
        <v>254</v>
      </c>
      <c r="F12" s="1">
        <v>79</v>
      </c>
      <c r="G12" s="1">
        <v>175</v>
      </c>
      <c r="H12" s="1">
        <v>250</v>
      </c>
      <c r="I12" s="1">
        <v>75</v>
      </c>
      <c r="J12" s="1">
        <v>175</v>
      </c>
      <c r="K12" s="1">
        <v>242</v>
      </c>
      <c r="L12" s="1">
        <v>74</v>
      </c>
      <c r="M12" s="1">
        <v>168</v>
      </c>
      <c r="N12" s="1">
        <v>250</v>
      </c>
      <c r="O12" s="1">
        <v>67</v>
      </c>
      <c r="P12" s="1">
        <v>183</v>
      </c>
      <c r="Q12" s="1">
        <v>255</v>
      </c>
      <c r="R12" s="1">
        <v>69</v>
      </c>
      <c r="S12" s="1">
        <v>186</v>
      </c>
      <c r="T12" s="1">
        <v>255</v>
      </c>
      <c r="U12" s="1">
        <v>97</v>
      </c>
      <c r="V12" s="1">
        <v>158</v>
      </c>
      <c r="W12" s="1">
        <v>51</v>
      </c>
      <c r="X12" s="1">
        <v>32</v>
      </c>
      <c r="Y12" s="1">
        <v>19</v>
      </c>
      <c r="Z12" s="1">
        <v>66</v>
      </c>
      <c r="AA12" s="1">
        <v>35</v>
      </c>
      <c r="AB12" s="1">
        <v>31</v>
      </c>
      <c r="AC12" s="1">
        <v>67</v>
      </c>
      <c r="AD12" s="1">
        <v>33</v>
      </c>
      <c r="AE12" s="1">
        <v>34</v>
      </c>
      <c r="AF12" s="1">
        <v>58</v>
      </c>
      <c r="AG12" s="1">
        <v>30</v>
      </c>
      <c r="AH12" s="1">
        <v>28</v>
      </c>
      <c r="AI12" s="1">
        <v>57</v>
      </c>
      <c r="AJ12" s="1">
        <v>28</v>
      </c>
      <c r="AK12" s="1">
        <v>29</v>
      </c>
      <c r="AL12" s="1">
        <v>49</v>
      </c>
      <c r="AM12" s="1">
        <v>17</v>
      </c>
      <c r="AN12" s="1">
        <v>32</v>
      </c>
      <c r="AO12" s="1">
        <v>42</v>
      </c>
      <c r="AP12" s="1">
        <v>33</v>
      </c>
      <c r="AQ12" s="1">
        <v>9</v>
      </c>
      <c r="AR12" s="1">
        <v>10</v>
      </c>
      <c r="AS12" s="1">
        <v>3</v>
      </c>
      <c r="AT12" s="1">
        <v>7</v>
      </c>
      <c r="AU12" s="1">
        <v>19</v>
      </c>
      <c r="AV12" s="1">
        <v>3</v>
      </c>
      <c r="AW12" s="1">
        <v>16</v>
      </c>
      <c r="AX12" s="1">
        <v>20</v>
      </c>
      <c r="AY12" s="1">
        <v>3</v>
      </c>
      <c r="AZ12" s="1">
        <v>17</v>
      </c>
      <c r="BA12" s="1">
        <v>19</v>
      </c>
      <c r="BB12" s="1">
        <v>1</v>
      </c>
      <c r="BC12" s="1">
        <v>18</v>
      </c>
      <c r="BD12" s="1">
        <v>18</v>
      </c>
      <c r="BE12" s="1">
        <v>1</v>
      </c>
      <c r="BF12" s="1">
        <v>17</v>
      </c>
      <c r="BG12" s="1">
        <v>16</v>
      </c>
      <c r="BH12" s="1"/>
      <c r="BI12" s="1">
        <v>16</v>
      </c>
      <c r="BJ12" s="1">
        <v>16</v>
      </c>
      <c r="BK12" s="1">
        <v>8</v>
      </c>
      <c r="BL12" s="1">
        <v>8</v>
      </c>
      <c r="BM12" s="1">
        <v>1</v>
      </c>
      <c r="BN12" s="1">
        <v>1</v>
      </c>
      <c r="BO12" s="1">
        <v>0</v>
      </c>
      <c r="BP12" s="1">
        <v>2</v>
      </c>
      <c r="BQ12" s="1">
        <v>2</v>
      </c>
      <c r="BR12" s="1">
        <v>0</v>
      </c>
      <c r="BS12" s="1">
        <v>2</v>
      </c>
      <c r="BT12" s="1">
        <v>2</v>
      </c>
      <c r="BU12" s="1">
        <v>0</v>
      </c>
      <c r="BV12" s="1">
        <v>1</v>
      </c>
      <c r="BW12" s="1">
        <v>1</v>
      </c>
      <c r="BX12" s="1">
        <v>0</v>
      </c>
      <c r="BY12" s="1">
        <v>1</v>
      </c>
      <c r="BZ12" s="1">
        <v>1</v>
      </c>
      <c r="CA12" s="18">
        <v>0</v>
      </c>
      <c r="CB12" s="1">
        <v>1</v>
      </c>
      <c r="CC12" s="1">
        <v>1</v>
      </c>
      <c r="CD12" s="1">
        <v>0</v>
      </c>
      <c r="CE12" s="1">
        <v>1</v>
      </c>
      <c r="CF12" s="1">
        <v>1</v>
      </c>
      <c r="CG12" s="1">
        <v>0</v>
      </c>
    </row>
    <row r="13" spans="1:85" s="4" customFormat="1" ht="16.5" customHeight="1">
      <c r="A13" s="1" t="s">
        <v>1</v>
      </c>
      <c r="B13" s="1">
        <v>194</v>
      </c>
      <c r="C13" s="1">
        <v>68</v>
      </c>
      <c r="D13" s="1">
        <v>126</v>
      </c>
      <c r="E13" s="1">
        <v>222</v>
      </c>
      <c r="F13" s="1">
        <v>74</v>
      </c>
      <c r="G13" s="1">
        <v>148</v>
      </c>
      <c r="H13" s="1">
        <v>214</v>
      </c>
      <c r="I13" s="1">
        <v>72</v>
      </c>
      <c r="J13" s="1">
        <v>142</v>
      </c>
      <c r="K13" s="1">
        <v>223</v>
      </c>
      <c r="L13" s="1">
        <v>76</v>
      </c>
      <c r="M13" s="1">
        <v>147</v>
      </c>
      <c r="N13" s="1">
        <v>215</v>
      </c>
      <c r="O13" s="1">
        <v>65</v>
      </c>
      <c r="P13" s="1">
        <v>150</v>
      </c>
      <c r="Q13" s="1">
        <v>218</v>
      </c>
      <c r="R13" s="1">
        <v>59</v>
      </c>
      <c r="S13" s="1">
        <v>159</v>
      </c>
      <c r="T13" s="1">
        <v>224</v>
      </c>
      <c r="U13" s="1">
        <v>96</v>
      </c>
      <c r="V13" s="1">
        <v>128</v>
      </c>
      <c r="W13" s="1">
        <v>42</v>
      </c>
      <c r="X13" s="1">
        <v>25</v>
      </c>
      <c r="Y13" s="1">
        <v>17</v>
      </c>
      <c r="Z13" s="1">
        <v>56</v>
      </c>
      <c r="AA13" s="1">
        <v>31</v>
      </c>
      <c r="AB13" s="1">
        <v>25</v>
      </c>
      <c r="AC13" s="1">
        <v>56</v>
      </c>
      <c r="AD13" s="1">
        <v>31</v>
      </c>
      <c r="AE13" s="1">
        <v>25</v>
      </c>
      <c r="AF13" s="1">
        <v>48</v>
      </c>
      <c r="AG13" s="1">
        <v>26</v>
      </c>
      <c r="AH13" s="1">
        <v>22</v>
      </c>
      <c r="AI13" s="1">
        <v>39</v>
      </c>
      <c r="AJ13" s="1">
        <v>22</v>
      </c>
      <c r="AK13" s="1">
        <v>17</v>
      </c>
      <c r="AL13" s="1">
        <v>37</v>
      </c>
      <c r="AM13" s="1">
        <v>16</v>
      </c>
      <c r="AN13" s="1">
        <v>21</v>
      </c>
      <c r="AO13" s="1">
        <v>41</v>
      </c>
      <c r="AP13" s="1">
        <v>29</v>
      </c>
      <c r="AQ13" s="1">
        <v>12</v>
      </c>
      <c r="AR13" s="1">
        <v>4</v>
      </c>
      <c r="AS13" s="1">
        <v>2</v>
      </c>
      <c r="AT13" s="1">
        <v>2</v>
      </c>
      <c r="AU13" s="1">
        <v>8</v>
      </c>
      <c r="AV13" s="1">
        <v>2</v>
      </c>
      <c r="AW13" s="1">
        <v>6</v>
      </c>
      <c r="AX13" s="1">
        <v>7</v>
      </c>
      <c r="AY13" s="1">
        <v>2</v>
      </c>
      <c r="AZ13" s="1">
        <v>5</v>
      </c>
      <c r="BA13" s="1">
        <v>8</v>
      </c>
      <c r="BB13" s="1">
        <v>2</v>
      </c>
      <c r="BC13" s="1">
        <v>6</v>
      </c>
      <c r="BD13" s="1">
        <v>7</v>
      </c>
      <c r="BE13" s="1">
        <v>2</v>
      </c>
      <c r="BF13" s="1">
        <v>5</v>
      </c>
      <c r="BG13" s="1">
        <v>7</v>
      </c>
      <c r="BH13" s="1"/>
      <c r="BI13" s="1">
        <v>7</v>
      </c>
      <c r="BJ13" s="1">
        <v>8</v>
      </c>
      <c r="BK13" s="1">
        <v>7</v>
      </c>
      <c r="BL13" s="1">
        <v>1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8">
        <v>0</v>
      </c>
      <c r="CB13" s="1">
        <v>0</v>
      </c>
      <c r="CC13" s="1">
        <v>0</v>
      </c>
      <c r="CD13" s="1">
        <v>0</v>
      </c>
      <c r="CE13" s="1">
        <v>0</v>
      </c>
      <c r="CF13" s="1">
        <v>0</v>
      </c>
      <c r="CG13" s="1">
        <v>0</v>
      </c>
    </row>
    <row r="14" spans="1:85" s="4" customFormat="1" ht="16.5" customHeight="1">
      <c r="A14" s="1" t="s">
        <v>2</v>
      </c>
      <c r="B14" s="1">
        <v>228</v>
      </c>
      <c r="C14" s="1">
        <v>75</v>
      </c>
      <c r="D14" s="1">
        <v>153</v>
      </c>
      <c r="E14" s="1">
        <v>245</v>
      </c>
      <c r="F14" s="1">
        <v>85</v>
      </c>
      <c r="G14" s="1">
        <v>160</v>
      </c>
      <c r="H14" s="1">
        <v>248</v>
      </c>
      <c r="I14" s="1">
        <v>84</v>
      </c>
      <c r="J14" s="1">
        <v>164</v>
      </c>
      <c r="K14" s="1">
        <v>248</v>
      </c>
      <c r="L14" s="1">
        <v>86</v>
      </c>
      <c r="M14" s="1">
        <v>162</v>
      </c>
      <c r="N14" s="1">
        <v>246</v>
      </c>
      <c r="O14" s="1">
        <v>82</v>
      </c>
      <c r="P14" s="1">
        <v>164</v>
      </c>
      <c r="Q14" s="1">
        <v>252</v>
      </c>
      <c r="R14" s="1">
        <v>75</v>
      </c>
      <c r="S14" s="1">
        <v>177</v>
      </c>
      <c r="T14" s="1">
        <v>256</v>
      </c>
      <c r="U14" s="1">
        <v>120</v>
      </c>
      <c r="V14" s="1">
        <v>136</v>
      </c>
      <c r="W14" s="1">
        <v>42</v>
      </c>
      <c r="X14" s="1">
        <v>27</v>
      </c>
      <c r="Y14" s="1">
        <v>15</v>
      </c>
      <c r="Z14" s="1">
        <v>52</v>
      </c>
      <c r="AA14" s="1">
        <v>32</v>
      </c>
      <c r="AB14" s="1">
        <v>20</v>
      </c>
      <c r="AC14" s="1">
        <v>50</v>
      </c>
      <c r="AD14" s="1">
        <v>32</v>
      </c>
      <c r="AE14" s="1">
        <v>18</v>
      </c>
      <c r="AF14" s="1">
        <v>46</v>
      </c>
      <c r="AG14" s="1">
        <v>29</v>
      </c>
      <c r="AH14" s="1">
        <v>17</v>
      </c>
      <c r="AI14" s="1">
        <v>42</v>
      </c>
      <c r="AJ14" s="1">
        <v>28</v>
      </c>
      <c r="AK14" s="1">
        <v>14</v>
      </c>
      <c r="AL14" s="1">
        <v>39</v>
      </c>
      <c r="AM14" s="1">
        <v>25</v>
      </c>
      <c r="AN14" s="1">
        <v>14</v>
      </c>
      <c r="AO14" s="1">
        <v>39</v>
      </c>
      <c r="AP14" s="1">
        <v>33</v>
      </c>
      <c r="AQ14" s="1">
        <v>6</v>
      </c>
      <c r="AR14" s="1">
        <v>11</v>
      </c>
      <c r="AS14" s="1">
        <v>3</v>
      </c>
      <c r="AT14" s="1">
        <v>8</v>
      </c>
      <c r="AU14" s="1">
        <v>18</v>
      </c>
      <c r="AV14" s="1">
        <v>4</v>
      </c>
      <c r="AW14" s="1">
        <v>14</v>
      </c>
      <c r="AX14" s="1">
        <v>14</v>
      </c>
      <c r="AY14" s="1">
        <v>2</v>
      </c>
      <c r="AZ14" s="1">
        <v>12</v>
      </c>
      <c r="BA14" s="1">
        <v>14</v>
      </c>
      <c r="BB14" s="1">
        <v>3</v>
      </c>
      <c r="BC14" s="1">
        <v>11</v>
      </c>
      <c r="BD14" s="1">
        <v>12</v>
      </c>
      <c r="BE14" s="1">
        <v>3</v>
      </c>
      <c r="BF14" s="1">
        <v>9</v>
      </c>
      <c r="BG14" s="1">
        <v>11</v>
      </c>
      <c r="BH14" s="1">
        <v>3</v>
      </c>
      <c r="BI14" s="1">
        <v>8</v>
      </c>
      <c r="BJ14" s="1">
        <v>7</v>
      </c>
      <c r="BK14" s="1">
        <v>4</v>
      </c>
      <c r="BL14" s="1">
        <v>3</v>
      </c>
      <c r="BM14" s="1">
        <v>0</v>
      </c>
      <c r="BN14" s="1">
        <v>0</v>
      </c>
      <c r="BO14" s="1">
        <v>0</v>
      </c>
      <c r="BP14" s="1">
        <v>1</v>
      </c>
      <c r="BQ14" s="1">
        <v>1</v>
      </c>
      <c r="BR14" s="1">
        <v>0</v>
      </c>
      <c r="BS14" s="1">
        <v>1</v>
      </c>
      <c r="BT14" s="1">
        <v>1</v>
      </c>
      <c r="BU14" s="1">
        <v>0</v>
      </c>
      <c r="BV14" s="1">
        <v>1</v>
      </c>
      <c r="BW14" s="1">
        <v>1</v>
      </c>
      <c r="BX14" s="1">
        <v>0</v>
      </c>
      <c r="BY14" s="1">
        <v>2</v>
      </c>
      <c r="BZ14" s="1">
        <v>2</v>
      </c>
      <c r="CA14" s="18">
        <v>0</v>
      </c>
      <c r="CB14" s="1">
        <v>2</v>
      </c>
      <c r="CC14" s="1">
        <v>2</v>
      </c>
      <c r="CD14" s="1">
        <v>0</v>
      </c>
      <c r="CE14" s="1">
        <v>2</v>
      </c>
      <c r="CF14" s="1">
        <v>2</v>
      </c>
      <c r="CG14" s="1">
        <v>0</v>
      </c>
    </row>
    <row r="15" spans="1:85" s="4" customFormat="1" ht="16.5" customHeight="1">
      <c r="A15" s="1" t="s">
        <v>10</v>
      </c>
      <c r="B15" s="1">
        <v>174</v>
      </c>
      <c r="C15" s="1">
        <v>59</v>
      </c>
      <c r="D15" s="1">
        <v>115</v>
      </c>
      <c r="E15" s="1">
        <v>185</v>
      </c>
      <c r="F15" s="1">
        <v>64</v>
      </c>
      <c r="G15" s="1">
        <v>121</v>
      </c>
      <c r="H15" s="1">
        <v>182</v>
      </c>
      <c r="I15" s="1">
        <v>64</v>
      </c>
      <c r="J15" s="1">
        <v>118</v>
      </c>
      <c r="K15" s="1">
        <v>182</v>
      </c>
      <c r="L15" s="1">
        <v>62</v>
      </c>
      <c r="M15" s="1">
        <v>120</v>
      </c>
      <c r="N15" s="1">
        <v>185</v>
      </c>
      <c r="O15" s="1">
        <v>58</v>
      </c>
      <c r="P15" s="1">
        <v>127</v>
      </c>
      <c r="Q15" s="1">
        <v>186</v>
      </c>
      <c r="R15" s="1">
        <v>57</v>
      </c>
      <c r="S15" s="1">
        <v>129</v>
      </c>
      <c r="T15" s="1">
        <v>188</v>
      </c>
      <c r="U15" s="1">
        <v>71</v>
      </c>
      <c r="V15" s="1">
        <v>117</v>
      </c>
      <c r="W15" s="1">
        <v>42</v>
      </c>
      <c r="X15" s="1">
        <v>32</v>
      </c>
      <c r="Y15" s="1">
        <v>10</v>
      </c>
      <c r="Z15" s="1">
        <v>59</v>
      </c>
      <c r="AA15" s="1">
        <v>40</v>
      </c>
      <c r="AB15" s="1">
        <v>19</v>
      </c>
      <c r="AC15" s="1">
        <v>56</v>
      </c>
      <c r="AD15" s="1">
        <v>38</v>
      </c>
      <c r="AE15" s="1">
        <v>18</v>
      </c>
      <c r="AF15" s="1">
        <v>48</v>
      </c>
      <c r="AG15" s="1">
        <v>32</v>
      </c>
      <c r="AH15" s="1">
        <v>16</v>
      </c>
      <c r="AI15" s="1">
        <v>47</v>
      </c>
      <c r="AJ15" s="1">
        <v>27</v>
      </c>
      <c r="AK15" s="1">
        <v>20</v>
      </c>
      <c r="AL15" s="1">
        <v>40</v>
      </c>
      <c r="AM15" s="1">
        <v>19</v>
      </c>
      <c r="AN15" s="1">
        <v>21</v>
      </c>
      <c r="AO15" s="1">
        <v>30</v>
      </c>
      <c r="AP15" s="1">
        <v>22</v>
      </c>
      <c r="AQ15" s="1">
        <v>8</v>
      </c>
      <c r="AR15" s="1">
        <v>5</v>
      </c>
      <c r="AS15" s="1">
        <v>4</v>
      </c>
      <c r="AT15" s="1">
        <v>1</v>
      </c>
      <c r="AU15" s="1">
        <v>10</v>
      </c>
      <c r="AV15" s="1">
        <v>5</v>
      </c>
      <c r="AW15" s="1">
        <v>5</v>
      </c>
      <c r="AX15" s="1">
        <v>12</v>
      </c>
      <c r="AY15" s="1">
        <v>7</v>
      </c>
      <c r="AZ15" s="1">
        <v>5</v>
      </c>
      <c r="BA15" s="1">
        <v>12</v>
      </c>
      <c r="BB15" s="1">
        <v>3</v>
      </c>
      <c r="BC15" s="1">
        <v>9</v>
      </c>
      <c r="BD15" s="1">
        <v>11</v>
      </c>
      <c r="BE15" s="1">
        <v>3</v>
      </c>
      <c r="BF15" s="1">
        <v>8</v>
      </c>
      <c r="BG15" s="1">
        <v>13</v>
      </c>
      <c r="BH15" s="1">
        <v>4</v>
      </c>
      <c r="BI15" s="1">
        <v>9</v>
      </c>
      <c r="BJ15" s="1">
        <v>14</v>
      </c>
      <c r="BK15" s="1">
        <v>6</v>
      </c>
      <c r="BL15" s="1">
        <v>8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8">
        <v>0</v>
      </c>
      <c r="CB15" s="18">
        <v>0</v>
      </c>
      <c r="CC15" s="18">
        <v>0</v>
      </c>
      <c r="CD15" s="18">
        <v>0</v>
      </c>
      <c r="CE15" s="18">
        <v>0</v>
      </c>
      <c r="CF15" s="18">
        <v>0</v>
      </c>
      <c r="CG15" s="18">
        <v>0</v>
      </c>
    </row>
    <row r="16" spans="1:85" s="4" customFormat="1" ht="16.5" customHeight="1">
      <c r="A16" s="1" t="s">
        <v>35</v>
      </c>
      <c r="B16" s="1">
        <v>206</v>
      </c>
      <c r="C16" s="1">
        <v>55</v>
      </c>
      <c r="D16" s="1">
        <v>151</v>
      </c>
      <c r="E16" s="1">
        <v>219</v>
      </c>
      <c r="F16" s="1">
        <v>63</v>
      </c>
      <c r="G16" s="1">
        <v>156</v>
      </c>
      <c r="H16" s="1">
        <v>224</v>
      </c>
      <c r="I16" s="1">
        <v>71</v>
      </c>
      <c r="J16" s="1">
        <v>153</v>
      </c>
      <c r="K16" s="1">
        <v>228</v>
      </c>
      <c r="L16" s="1">
        <v>71</v>
      </c>
      <c r="M16" s="1">
        <v>157</v>
      </c>
      <c r="N16" s="1">
        <v>232</v>
      </c>
      <c r="O16" s="1">
        <v>68</v>
      </c>
      <c r="P16" s="1">
        <v>164</v>
      </c>
      <c r="Q16" s="1">
        <v>242</v>
      </c>
      <c r="R16" s="1">
        <v>73</v>
      </c>
      <c r="S16" s="1">
        <v>169</v>
      </c>
      <c r="T16" s="1">
        <v>246</v>
      </c>
      <c r="U16" s="1">
        <v>109</v>
      </c>
      <c r="V16" s="1">
        <v>137</v>
      </c>
      <c r="W16" s="1">
        <v>28</v>
      </c>
      <c r="X16" s="1">
        <v>15</v>
      </c>
      <c r="Y16" s="1">
        <v>13</v>
      </c>
      <c r="Z16" s="1">
        <v>37</v>
      </c>
      <c r="AA16" s="1">
        <v>22</v>
      </c>
      <c r="AB16" s="1">
        <v>15</v>
      </c>
      <c r="AC16" s="1">
        <v>39</v>
      </c>
      <c r="AD16" s="1">
        <v>24</v>
      </c>
      <c r="AE16" s="1">
        <v>15</v>
      </c>
      <c r="AF16" s="1">
        <v>37</v>
      </c>
      <c r="AG16" s="1">
        <v>23</v>
      </c>
      <c r="AH16" s="1">
        <v>14</v>
      </c>
      <c r="AI16" s="1">
        <v>50</v>
      </c>
      <c r="AJ16" s="1">
        <v>32</v>
      </c>
      <c r="AK16" s="1">
        <v>18</v>
      </c>
      <c r="AL16" s="1">
        <v>41</v>
      </c>
      <c r="AM16" s="1">
        <v>20</v>
      </c>
      <c r="AN16" s="1">
        <v>21</v>
      </c>
      <c r="AO16" s="1">
        <v>42</v>
      </c>
      <c r="AP16" s="1">
        <v>26</v>
      </c>
      <c r="AQ16" s="1">
        <v>16</v>
      </c>
      <c r="AR16" s="1">
        <v>6</v>
      </c>
      <c r="AS16" s="1">
        <v>4</v>
      </c>
      <c r="AT16" s="1">
        <v>2</v>
      </c>
      <c r="AU16" s="1">
        <v>12</v>
      </c>
      <c r="AV16" s="1">
        <v>4</v>
      </c>
      <c r="AW16" s="1">
        <v>8</v>
      </c>
      <c r="AX16" s="1">
        <v>12</v>
      </c>
      <c r="AY16" s="1">
        <v>6</v>
      </c>
      <c r="AZ16" s="1">
        <v>6</v>
      </c>
      <c r="BA16" s="1">
        <v>11</v>
      </c>
      <c r="BB16" s="1">
        <v>2</v>
      </c>
      <c r="BC16" s="1">
        <v>9</v>
      </c>
      <c r="BD16" s="1">
        <v>10</v>
      </c>
      <c r="BE16" s="1">
        <v>2</v>
      </c>
      <c r="BF16" s="1">
        <v>8</v>
      </c>
      <c r="BG16" s="1">
        <v>9</v>
      </c>
      <c r="BH16" s="1">
        <v>1</v>
      </c>
      <c r="BI16" s="1">
        <v>8</v>
      </c>
      <c r="BJ16" s="1">
        <v>11</v>
      </c>
      <c r="BK16" s="1">
        <v>6</v>
      </c>
      <c r="BL16" s="1">
        <v>5</v>
      </c>
      <c r="BM16" s="1">
        <v>1</v>
      </c>
      <c r="BN16" s="1">
        <v>1</v>
      </c>
      <c r="BO16" s="1">
        <v>0</v>
      </c>
      <c r="BP16" s="1">
        <v>2</v>
      </c>
      <c r="BQ16" s="1">
        <v>2</v>
      </c>
      <c r="BR16" s="1">
        <v>0</v>
      </c>
      <c r="BS16" s="1">
        <v>2</v>
      </c>
      <c r="BT16" s="1">
        <v>2</v>
      </c>
      <c r="BU16" s="1">
        <v>0</v>
      </c>
      <c r="BV16" s="1">
        <v>2</v>
      </c>
      <c r="BW16" s="1">
        <v>2</v>
      </c>
      <c r="BX16" s="1">
        <v>0</v>
      </c>
      <c r="BY16" s="1">
        <v>2</v>
      </c>
      <c r="BZ16" s="1">
        <v>2</v>
      </c>
      <c r="CA16" s="18">
        <v>0</v>
      </c>
      <c r="CB16" s="1">
        <v>2</v>
      </c>
      <c r="CC16" s="1">
        <v>2</v>
      </c>
      <c r="CD16" s="1">
        <v>0</v>
      </c>
      <c r="CE16" s="1">
        <v>2</v>
      </c>
      <c r="CF16" s="1">
        <v>2</v>
      </c>
      <c r="CG16" s="1">
        <v>0</v>
      </c>
    </row>
    <row r="17" spans="1:85" s="4" customFormat="1" ht="16.5" customHeight="1">
      <c r="A17" s="1" t="s">
        <v>6</v>
      </c>
      <c r="B17" s="1">
        <v>139</v>
      </c>
      <c r="C17" s="1">
        <v>39</v>
      </c>
      <c r="D17" s="1">
        <v>100</v>
      </c>
      <c r="E17" s="1">
        <v>151</v>
      </c>
      <c r="F17" s="1">
        <v>45</v>
      </c>
      <c r="G17" s="1">
        <v>106</v>
      </c>
      <c r="H17" s="1">
        <v>147</v>
      </c>
      <c r="I17" s="1">
        <v>43</v>
      </c>
      <c r="J17" s="1">
        <v>104</v>
      </c>
      <c r="K17" s="1">
        <v>139</v>
      </c>
      <c r="L17" s="1">
        <v>44</v>
      </c>
      <c r="M17" s="1">
        <v>95</v>
      </c>
      <c r="N17" s="1">
        <v>139</v>
      </c>
      <c r="O17" s="1">
        <v>40</v>
      </c>
      <c r="P17" s="1">
        <v>99</v>
      </c>
      <c r="Q17" s="1">
        <v>142</v>
      </c>
      <c r="R17" s="1">
        <v>36</v>
      </c>
      <c r="S17" s="1">
        <v>106</v>
      </c>
      <c r="T17" s="1">
        <v>148</v>
      </c>
      <c r="U17" s="1">
        <v>69</v>
      </c>
      <c r="V17" s="1">
        <v>79</v>
      </c>
      <c r="W17" s="1">
        <v>23</v>
      </c>
      <c r="X17" s="1">
        <v>14</v>
      </c>
      <c r="Y17" s="1">
        <v>9</v>
      </c>
      <c r="Z17" s="1">
        <v>31</v>
      </c>
      <c r="AA17" s="1">
        <v>20</v>
      </c>
      <c r="AB17" s="1">
        <v>11</v>
      </c>
      <c r="AC17" s="1">
        <v>30</v>
      </c>
      <c r="AD17" s="1">
        <v>18</v>
      </c>
      <c r="AE17" s="1">
        <v>12</v>
      </c>
      <c r="AF17" s="1">
        <v>34</v>
      </c>
      <c r="AG17" s="1">
        <v>21</v>
      </c>
      <c r="AH17" s="1">
        <v>13</v>
      </c>
      <c r="AI17" s="1">
        <v>32</v>
      </c>
      <c r="AJ17" s="1">
        <v>21</v>
      </c>
      <c r="AK17" s="1">
        <v>11</v>
      </c>
      <c r="AL17" s="1">
        <v>31</v>
      </c>
      <c r="AM17" s="1">
        <v>20</v>
      </c>
      <c r="AN17" s="1">
        <v>11</v>
      </c>
      <c r="AO17" s="1">
        <v>24</v>
      </c>
      <c r="AP17" s="1">
        <v>15</v>
      </c>
      <c r="AQ17" s="1">
        <v>9</v>
      </c>
      <c r="AR17" s="1">
        <v>4</v>
      </c>
      <c r="AS17" s="1">
        <v>4</v>
      </c>
      <c r="AT17" s="1">
        <v>0</v>
      </c>
      <c r="AU17" s="1">
        <v>8</v>
      </c>
      <c r="AV17" s="1">
        <v>7</v>
      </c>
      <c r="AW17" s="1">
        <v>1</v>
      </c>
      <c r="AX17" s="1">
        <v>7</v>
      </c>
      <c r="AY17" s="1">
        <v>6</v>
      </c>
      <c r="AZ17" s="1">
        <v>1</v>
      </c>
      <c r="BA17" s="1">
        <v>8</v>
      </c>
      <c r="BB17" s="1">
        <v>4</v>
      </c>
      <c r="BC17" s="1">
        <v>4</v>
      </c>
      <c r="BD17" s="1">
        <v>6</v>
      </c>
      <c r="BE17" s="1">
        <v>2</v>
      </c>
      <c r="BF17" s="1">
        <v>4</v>
      </c>
      <c r="BG17" s="1">
        <v>6</v>
      </c>
      <c r="BH17" s="1">
        <v>3</v>
      </c>
      <c r="BI17" s="1">
        <v>3</v>
      </c>
      <c r="BJ17" s="1">
        <v>6</v>
      </c>
      <c r="BK17" s="1">
        <v>4</v>
      </c>
      <c r="BL17" s="1">
        <v>2</v>
      </c>
      <c r="BM17" s="1">
        <v>0</v>
      </c>
      <c r="BN17" s="1">
        <v>0</v>
      </c>
      <c r="BO17" s="1">
        <v>0</v>
      </c>
      <c r="BP17" s="1">
        <v>1</v>
      </c>
      <c r="BQ17" s="1">
        <v>1</v>
      </c>
      <c r="BR17" s="1">
        <v>0</v>
      </c>
      <c r="BS17" s="1">
        <v>1</v>
      </c>
      <c r="BT17" s="1">
        <v>1</v>
      </c>
      <c r="BU17" s="1">
        <v>0</v>
      </c>
      <c r="BV17" s="1">
        <v>1</v>
      </c>
      <c r="BW17" s="1">
        <v>1</v>
      </c>
      <c r="BX17" s="1">
        <v>0</v>
      </c>
      <c r="BY17" s="1">
        <v>1</v>
      </c>
      <c r="BZ17" s="1">
        <v>1</v>
      </c>
      <c r="CA17" s="18">
        <v>0</v>
      </c>
      <c r="CB17" s="1">
        <v>1</v>
      </c>
      <c r="CC17" s="1">
        <v>1</v>
      </c>
      <c r="CD17" s="1">
        <v>0</v>
      </c>
      <c r="CE17" s="1">
        <v>0</v>
      </c>
      <c r="CF17" s="1">
        <v>0</v>
      </c>
      <c r="CG17" s="1">
        <v>0</v>
      </c>
    </row>
    <row r="18" spans="1:85" s="4" customFormat="1" ht="16.5" customHeight="1">
      <c r="A18" s="1" t="s">
        <v>12</v>
      </c>
      <c r="B18" s="1">
        <v>209</v>
      </c>
      <c r="C18" s="1">
        <v>55</v>
      </c>
      <c r="D18" s="1">
        <v>154</v>
      </c>
      <c r="E18" s="1">
        <v>223</v>
      </c>
      <c r="F18" s="1">
        <v>60</v>
      </c>
      <c r="G18" s="1">
        <v>163</v>
      </c>
      <c r="H18" s="1">
        <v>222</v>
      </c>
      <c r="I18" s="1">
        <v>62</v>
      </c>
      <c r="J18" s="1">
        <v>160</v>
      </c>
      <c r="K18" s="1">
        <v>209</v>
      </c>
      <c r="L18" s="1">
        <v>62</v>
      </c>
      <c r="M18" s="1">
        <v>147</v>
      </c>
      <c r="N18" s="1">
        <v>213</v>
      </c>
      <c r="O18" s="1">
        <v>57</v>
      </c>
      <c r="P18" s="1">
        <v>156</v>
      </c>
      <c r="Q18" s="1">
        <v>222</v>
      </c>
      <c r="R18" s="1">
        <v>58</v>
      </c>
      <c r="S18" s="1">
        <v>164</v>
      </c>
      <c r="T18" s="1">
        <v>223</v>
      </c>
      <c r="U18" s="1">
        <v>90</v>
      </c>
      <c r="V18" s="1">
        <v>133</v>
      </c>
      <c r="W18" s="1">
        <v>34</v>
      </c>
      <c r="X18" s="1">
        <v>26</v>
      </c>
      <c r="Y18" s="1">
        <v>8</v>
      </c>
      <c r="Z18" s="1">
        <v>45</v>
      </c>
      <c r="AA18" s="1">
        <v>32</v>
      </c>
      <c r="AB18" s="1">
        <v>13</v>
      </c>
      <c r="AC18" s="1">
        <v>45</v>
      </c>
      <c r="AD18" s="1">
        <v>32</v>
      </c>
      <c r="AE18" s="1">
        <v>13</v>
      </c>
      <c r="AF18" s="1">
        <v>43</v>
      </c>
      <c r="AG18" s="1">
        <v>31</v>
      </c>
      <c r="AH18" s="1">
        <v>12</v>
      </c>
      <c r="AI18" s="1">
        <v>36</v>
      </c>
      <c r="AJ18" s="1">
        <v>26</v>
      </c>
      <c r="AK18" s="1">
        <v>10</v>
      </c>
      <c r="AL18" s="1">
        <v>26</v>
      </c>
      <c r="AM18" s="1">
        <v>14</v>
      </c>
      <c r="AN18" s="1">
        <v>12</v>
      </c>
      <c r="AO18" s="1">
        <v>25</v>
      </c>
      <c r="AP18" s="1">
        <v>19</v>
      </c>
      <c r="AQ18" s="1">
        <v>6</v>
      </c>
      <c r="AR18" s="1">
        <v>6</v>
      </c>
      <c r="AS18" s="1">
        <v>3</v>
      </c>
      <c r="AT18" s="1">
        <v>3</v>
      </c>
      <c r="AU18" s="1">
        <v>10</v>
      </c>
      <c r="AV18" s="1">
        <v>5</v>
      </c>
      <c r="AW18" s="1">
        <v>5</v>
      </c>
      <c r="AX18" s="1">
        <v>8</v>
      </c>
      <c r="AY18" s="1">
        <v>5</v>
      </c>
      <c r="AZ18" s="1">
        <v>3</v>
      </c>
      <c r="BA18" s="1">
        <v>6</v>
      </c>
      <c r="BB18" s="1">
        <v>3</v>
      </c>
      <c r="BC18" s="1">
        <v>3</v>
      </c>
      <c r="BD18" s="1">
        <v>4</v>
      </c>
      <c r="BE18" s="1">
        <v>2</v>
      </c>
      <c r="BF18" s="1">
        <v>2</v>
      </c>
      <c r="BG18" s="1">
        <v>5</v>
      </c>
      <c r="BH18" s="1">
        <v>0</v>
      </c>
      <c r="BI18" s="1">
        <v>5</v>
      </c>
      <c r="BJ18" s="1">
        <v>5</v>
      </c>
      <c r="BK18" s="1">
        <v>2</v>
      </c>
      <c r="BL18" s="1">
        <v>3</v>
      </c>
      <c r="BM18" s="1">
        <v>2</v>
      </c>
      <c r="BN18" s="1">
        <v>2</v>
      </c>
      <c r="BO18" s="1">
        <v>0</v>
      </c>
      <c r="BP18" s="1">
        <v>3</v>
      </c>
      <c r="BQ18" s="1">
        <v>3</v>
      </c>
      <c r="BR18" s="1">
        <v>0</v>
      </c>
      <c r="BS18" s="1">
        <v>3</v>
      </c>
      <c r="BT18" s="1">
        <v>3</v>
      </c>
      <c r="BU18" s="1">
        <v>0</v>
      </c>
      <c r="BV18" s="1">
        <v>3</v>
      </c>
      <c r="BW18" s="1">
        <v>3</v>
      </c>
      <c r="BX18" s="1">
        <v>0</v>
      </c>
      <c r="BY18" s="1">
        <v>3</v>
      </c>
      <c r="BZ18" s="1">
        <v>3</v>
      </c>
      <c r="CA18" s="18">
        <v>0</v>
      </c>
      <c r="CB18" s="1">
        <v>3</v>
      </c>
      <c r="CC18" s="1">
        <v>3</v>
      </c>
      <c r="CD18" s="1">
        <v>0</v>
      </c>
      <c r="CE18" s="1">
        <v>4</v>
      </c>
      <c r="CF18" s="1">
        <v>4</v>
      </c>
      <c r="CG18" s="1">
        <v>0</v>
      </c>
    </row>
    <row r="19" spans="1:85" s="4" customFormat="1" ht="16.5" customHeight="1">
      <c r="A19" s="1" t="s">
        <v>9</v>
      </c>
      <c r="B19" s="1">
        <v>208</v>
      </c>
      <c r="C19" s="1">
        <v>58</v>
      </c>
      <c r="D19" s="1">
        <v>150</v>
      </c>
      <c r="E19" s="1">
        <v>215</v>
      </c>
      <c r="F19" s="1">
        <v>62</v>
      </c>
      <c r="G19" s="1">
        <v>153</v>
      </c>
      <c r="H19" s="1">
        <v>227</v>
      </c>
      <c r="I19" s="1">
        <v>68</v>
      </c>
      <c r="J19" s="1">
        <v>159</v>
      </c>
      <c r="K19" s="1">
        <v>224</v>
      </c>
      <c r="L19" s="1">
        <v>68</v>
      </c>
      <c r="M19" s="1">
        <v>156</v>
      </c>
      <c r="N19" s="1">
        <v>225</v>
      </c>
      <c r="O19" s="1">
        <v>67</v>
      </c>
      <c r="P19" s="1">
        <v>158</v>
      </c>
      <c r="Q19" s="1">
        <v>230</v>
      </c>
      <c r="R19" s="1">
        <v>66</v>
      </c>
      <c r="S19" s="1">
        <v>164</v>
      </c>
      <c r="T19" s="1">
        <v>245</v>
      </c>
      <c r="U19" s="1">
        <v>110</v>
      </c>
      <c r="V19" s="1">
        <v>135</v>
      </c>
      <c r="W19" s="1">
        <v>36</v>
      </c>
      <c r="X19" s="1">
        <v>25</v>
      </c>
      <c r="Y19" s="1">
        <v>11</v>
      </c>
      <c r="Z19" s="1">
        <v>44</v>
      </c>
      <c r="AA19" s="1">
        <v>31</v>
      </c>
      <c r="AB19" s="1">
        <v>13</v>
      </c>
      <c r="AC19" s="1">
        <v>43</v>
      </c>
      <c r="AD19" s="1">
        <v>30</v>
      </c>
      <c r="AE19" s="1">
        <v>13</v>
      </c>
      <c r="AF19" s="1">
        <v>42</v>
      </c>
      <c r="AG19" s="1">
        <v>28</v>
      </c>
      <c r="AH19" s="1">
        <v>14</v>
      </c>
      <c r="AI19" s="1">
        <v>39</v>
      </c>
      <c r="AJ19" s="1">
        <v>18</v>
      </c>
      <c r="AK19" s="1">
        <v>21</v>
      </c>
      <c r="AL19" s="1">
        <v>36</v>
      </c>
      <c r="AM19" s="1">
        <v>23</v>
      </c>
      <c r="AN19" s="1">
        <v>13</v>
      </c>
      <c r="AO19" s="1">
        <v>32</v>
      </c>
      <c r="AP19" s="1">
        <v>26</v>
      </c>
      <c r="AQ19" s="1">
        <v>6</v>
      </c>
      <c r="AR19" s="1">
        <v>5</v>
      </c>
      <c r="AS19" s="1">
        <v>1</v>
      </c>
      <c r="AT19" s="1">
        <v>4</v>
      </c>
      <c r="AU19" s="1">
        <v>7</v>
      </c>
      <c r="AV19" s="1">
        <v>2</v>
      </c>
      <c r="AW19" s="1">
        <v>5</v>
      </c>
      <c r="AX19" s="1">
        <v>4</v>
      </c>
      <c r="AY19" s="1">
        <v>1</v>
      </c>
      <c r="AZ19" s="1">
        <v>3</v>
      </c>
      <c r="BA19" s="1">
        <v>6</v>
      </c>
      <c r="BB19" s="1">
        <v>2</v>
      </c>
      <c r="BC19" s="1">
        <v>4</v>
      </c>
      <c r="BD19" s="1">
        <v>7</v>
      </c>
      <c r="BE19" s="1">
        <v>3</v>
      </c>
      <c r="BF19" s="1">
        <v>4</v>
      </c>
      <c r="BG19" s="1">
        <v>3</v>
      </c>
      <c r="BH19" s="1">
        <v>0</v>
      </c>
      <c r="BI19" s="1">
        <v>3</v>
      </c>
      <c r="BJ19" s="1">
        <v>6</v>
      </c>
      <c r="BK19" s="1">
        <v>2</v>
      </c>
      <c r="BL19" s="1">
        <v>4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1</v>
      </c>
      <c r="BW19" s="1">
        <v>1</v>
      </c>
      <c r="BX19" s="1">
        <v>0</v>
      </c>
      <c r="BY19" s="1">
        <v>1</v>
      </c>
      <c r="BZ19" s="1">
        <v>1</v>
      </c>
      <c r="CA19" s="18">
        <v>0</v>
      </c>
      <c r="CB19" s="1">
        <v>1</v>
      </c>
      <c r="CC19" s="1">
        <v>1</v>
      </c>
      <c r="CD19" s="1">
        <v>0</v>
      </c>
      <c r="CE19" s="1">
        <v>0</v>
      </c>
      <c r="CF19" s="1">
        <v>0</v>
      </c>
      <c r="CG19" s="1">
        <v>0</v>
      </c>
    </row>
    <row r="20" spans="1:85" s="4" customFormat="1" ht="16.5" customHeight="1">
      <c r="A20" s="1" t="s">
        <v>4</v>
      </c>
      <c r="B20" s="1">
        <v>103</v>
      </c>
      <c r="C20" s="1">
        <v>29</v>
      </c>
      <c r="D20" s="1">
        <v>74</v>
      </c>
      <c r="E20" s="1">
        <v>115</v>
      </c>
      <c r="F20" s="1">
        <v>33</v>
      </c>
      <c r="G20" s="1">
        <v>82</v>
      </c>
      <c r="H20" s="1">
        <v>112</v>
      </c>
      <c r="I20" s="1">
        <v>32</v>
      </c>
      <c r="J20" s="1">
        <v>80</v>
      </c>
      <c r="K20" s="1">
        <v>111</v>
      </c>
      <c r="L20" s="1">
        <v>27</v>
      </c>
      <c r="M20" s="1">
        <v>84</v>
      </c>
      <c r="N20" s="1">
        <v>113</v>
      </c>
      <c r="O20" s="1">
        <v>30</v>
      </c>
      <c r="P20" s="1">
        <v>83</v>
      </c>
      <c r="Q20" s="1">
        <v>111</v>
      </c>
      <c r="R20" s="1">
        <v>24</v>
      </c>
      <c r="S20" s="1">
        <v>87</v>
      </c>
      <c r="T20" s="1">
        <v>120</v>
      </c>
      <c r="U20" s="1">
        <v>56</v>
      </c>
      <c r="V20" s="1">
        <v>64</v>
      </c>
      <c r="W20" s="1">
        <v>18</v>
      </c>
      <c r="X20" s="1">
        <v>11</v>
      </c>
      <c r="Y20" s="1">
        <v>7</v>
      </c>
      <c r="Z20" s="1">
        <v>25</v>
      </c>
      <c r="AA20" s="1">
        <v>17</v>
      </c>
      <c r="AB20" s="1">
        <v>8</v>
      </c>
      <c r="AC20" s="1">
        <v>20</v>
      </c>
      <c r="AD20" s="1">
        <v>14</v>
      </c>
      <c r="AE20" s="1">
        <v>6</v>
      </c>
      <c r="AF20" s="1">
        <v>19</v>
      </c>
      <c r="AG20" s="1">
        <v>13</v>
      </c>
      <c r="AH20" s="1">
        <v>6</v>
      </c>
      <c r="AI20" s="1">
        <v>19</v>
      </c>
      <c r="AJ20" s="1">
        <v>13</v>
      </c>
      <c r="AK20" s="1">
        <v>6</v>
      </c>
      <c r="AL20" s="1">
        <v>16</v>
      </c>
      <c r="AM20" s="1">
        <v>10</v>
      </c>
      <c r="AN20" s="1">
        <v>6</v>
      </c>
      <c r="AO20" s="1">
        <v>13</v>
      </c>
      <c r="AP20" s="1">
        <v>12</v>
      </c>
      <c r="AQ20" s="1">
        <v>1</v>
      </c>
      <c r="AR20" s="1">
        <v>4</v>
      </c>
      <c r="AS20" s="1">
        <v>3</v>
      </c>
      <c r="AT20" s="1">
        <v>1</v>
      </c>
      <c r="AU20" s="1">
        <v>6</v>
      </c>
      <c r="AV20" s="1">
        <v>4</v>
      </c>
      <c r="AW20" s="1">
        <v>2</v>
      </c>
      <c r="AX20" s="1">
        <v>6</v>
      </c>
      <c r="AY20" s="1">
        <v>4</v>
      </c>
      <c r="AZ20" s="1">
        <v>2</v>
      </c>
      <c r="BA20" s="1">
        <v>6</v>
      </c>
      <c r="BB20" s="1">
        <v>4</v>
      </c>
      <c r="BC20" s="1">
        <v>2</v>
      </c>
      <c r="BD20" s="1">
        <v>8</v>
      </c>
      <c r="BE20" s="1">
        <v>2</v>
      </c>
      <c r="BF20" s="1">
        <v>6</v>
      </c>
      <c r="BG20" s="1">
        <v>8</v>
      </c>
      <c r="BH20" s="1">
        <v>2</v>
      </c>
      <c r="BI20" s="1">
        <v>6</v>
      </c>
      <c r="BJ20" s="1">
        <v>8</v>
      </c>
      <c r="BK20" s="1">
        <v>6</v>
      </c>
      <c r="BL20" s="1">
        <v>2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8">
        <v>0</v>
      </c>
      <c r="CB20" s="18">
        <v>0</v>
      </c>
      <c r="CC20" s="18">
        <v>0</v>
      </c>
      <c r="CD20" s="18">
        <v>0</v>
      </c>
      <c r="CE20" s="18">
        <v>0</v>
      </c>
      <c r="CF20" s="18">
        <v>0</v>
      </c>
      <c r="CG20" s="1">
        <v>0</v>
      </c>
    </row>
    <row r="21" spans="1:85" s="4" customFormat="1" ht="16.5" customHeight="1">
      <c r="A21" s="1" t="s">
        <v>13</v>
      </c>
      <c r="B21" s="1">
        <v>637</v>
      </c>
      <c r="C21" s="1">
        <v>204</v>
      </c>
      <c r="D21" s="1">
        <v>433</v>
      </c>
      <c r="E21" s="1">
        <v>657</v>
      </c>
      <c r="F21" s="1">
        <v>210</v>
      </c>
      <c r="G21" s="1">
        <v>447</v>
      </c>
      <c r="H21" s="1">
        <v>669</v>
      </c>
      <c r="I21" s="1">
        <v>212</v>
      </c>
      <c r="J21" s="1">
        <v>457</v>
      </c>
      <c r="K21" s="1">
        <v>660</v>
      </c>
      <c r="L21" s="1">
        <v>207</v>
      </c>
      <c r="M21" s="1">
        <v>453</v>
      </c>
      <c r="N21" s="1">
        <v>664</v>
      </c>
      <c r="O21" s="1">
        <v>195</v>
      </c>
      <c r="P21" s="1">
        <v>469</v>
      </c>
      <c r="Q21" s="1">
        <v>677</v>
      </c>
      <c r="R21" s="1">
        <v>196</v>
      </c>
      <c r="S21" s="1">
        <v>481</v>
      </c>
      <c r="T21" s="1">
        <v>674</v>
      </c>
      <c r="U21" s="1">
        <v>309</v>
      </c>
      <c r="V21" s="1">
        <v>365</v>
      </c>
      <c r="W21" s="1">
        <v>156</v>
      </c>
      <c r="X21" s="1">
        <v>99</v>
      </c>
      <c r="Y21" s="1">
        <v>67</v>
      </c>
      <c r="Z21" s="1">
        <v>166</v>
      </c>
      <c r="AA21" s="1">
        <v>105</v>
      </c>
      <c r="AB21" s="1">
        <v>61</v>
      </c>
      <c r="AC21" s="1">
        <v>160</v>
      </c>
      <c r="AD21" s="1">
        <v>102</v>
      </c>
      <c r="AE21" s="1">
        <v>58</v>
      </c>
      <c r="AF21" s="1">
        <v>152</v>
      </c>
      <c r="AG21" s="1">
        <v>94</v>
      </c>
      <c r="AH21" s="1">
        <v>58</v>
      </c>
      <c r="AI21" s="1">
        <v>147</v>
      </c>
      <c r="AJ21" s="1">
        <v>93</v>
      </c>
      <c r="AK21" s="1">
        <v>54</v>
      </c>
      <c r="AL21" s="1">
        <v>132</v>
      </c>
      <c r="AM21" s="1">
        <v>73</v>
      </c>
      <c r="AN21" s="1">
        <v>59</v>
      </c>
      <c r="AO21" s="1">
        <v>122</v>
      </c>
      <c r="AP21" s="1">
        <v>90</v>
      </c>
      <c r="AQ21" s="1">
        <v>32</v>
      </c>
      <c r="AR21" s="1">
        <v>28</v>
      </c>
      <c r="AS21" s="1">
        <v>11</v>
      </c>
      <c r="AT21" s="1">
        <v>17</v>
      </c>
      <c r="AU21" s="1">
        <v>32</v>
      </c>
      <c r="AV21" s="1">
        <v>15</v>
      </c>
      <c r="AW21" s="1">
        <v>17</v>
      </c>
      <c r="AX21" s="1">
        <v>24</v>
      </c>
      <c r="AY21" s="1">
        <v>11</v>
      </c>
      <c r="AZ21" s="1">
        <v>13</v>
      </c>
      <c r="BA21" s="1">
        <v>20</v>
      </c>
      <c r="BB21" s="1">
        <v>8</v>
      </c>
      <c r="BC21" s="1">
        <v>12</v>
      </c>
      <c r="BD21" s="1">
        <v>20</v>
      </c>
      <c r="BE21" s="1">
        <v>8</v>
      </c>
      <c r="BF21" s="1">
        <v>12</v>
      </c>
      <c r="BG21" s="1">
        <v>16</v>
      </c>
      <c r="BH21" s="1">
        <v>3</v>
      </c>
      <c r="BI21" s="1">
        <v>13</v>
      </c>
      <c r="BJ21" s="1">
        <v>24</v>
      </c>
      <c r="BK21" s="1">
        <v>13</v>
      </c>
      <c r="BL21" s="1">
        <v>11</v>
      </c>
      <c r="BM21" s="1">
        <v>1</v>
      </c>
      <c r="BN21" s="1">
        <v>1</v>
      </c>
      <c r="BO21" s="1">
        <v>0</v>
      </c>
      <c r="BP21" s="1">
        <v>3</v>
      </c>
      <c r="BQ21" s="1">
        <v>3</v>
      </c>
      <c r="BR21" s="1">
        <v>0</v>
      </c>
      <c r="BS21" s="1">
        <v>3</v>
      </c>
      <c r="BT21" s="1">
        <v>3</v>
      </c>
      <c r="BU21" s="1">
        <v>0</v>
      </c>
      <c r="BV21" s="1">
        <v>2</v>
      </c>
      <c r="BW21" s="1">
        <v>2</v>
      </c>
      <c r="BX21" s="1">
        <v>0</v>
      </c>
      <c r="BY21" s="1">
        <v>2</v>
      </c>
      <c r="BZ21" s="1">
        <v>2</v>
      </c>
      <c r="CA21" s="18">
        <v>0</v>
      </c>
      <c r="CB21" s="1">
        <v>2</v>
      </c>
      <c r="CC21" s="1">
        <v>2</v>
      </c>
      <c r="CD21" s="1">
        <v>0</v>
      </c>
      <c r="CE21" s="1">
        <v>1</v>
      </c>
      <c r="CF21" s="1">
        <v>1</v>
      </c>
      <c r="CG21" s="1">
        <v>0</v>
      </c>
    </row>
    <row r="22" spans="1:85" s="4" customFormat="1" ht="16.5" customHeight="1">
      <c r="A22" s="12" t="s">
        <v>36</v>
      </c>
      <c r="B22" s="1">
        <f t="shared" ref="B22:AJ22" si="0">SUM(B7:B21)</f>
        <v>4528</v>
      </c>
      <c r="C22" s="1">
        <f t="shared" si="0"/>
        <v>1412</v>
      </c>
      <c r="D22" s="1">
        <f t="shared" si="0"/>
        <v>3116</v>
      </c>
      <c r="E22" s="1">
        <f t="shared" si="0"/>
        <v>4789</v>
      </c>
      <c r="F22" s="1">
        <f t="shared" si="0"/>
        <v>1500</v>
      </c>
      <c r="G22" s="1">
        <f t="shared" si="0"/>
        <v>3289</v>
      </c>
      <c r="H22" s="1">
        <f t="shared" si="0"/>
        <v>4829</v>
      </c>
      <c r="I22" s="1">
        <f t="shared" si="0"/>
        <v>1518</v>
      </c>
      <c r="J22" s="1">
        <f t="shared" si="0"/>
        <v>3211</v>
      </c>
      <c r="K22" s="1">
        <f t="shared" si="0"/>
        <v>4839</v>
      </c>
      <c r="L22" s="1">
        <f t="shared" si="0"/>
        <v>1517</v>
      </c>
      <c r="M22" s="1">
        <f t="shared" si="0"/>
        <v>3322</v>
      </c>
      <c r="N22" s="1">
        <f t="shared" si="0"/>
        <v>4903</v>
      </c>
      <c r="O22" s="1">
        <f t="shared" si="0"/>
        <v>1478</v>
      </c>
      <c r="P22" s="1">
        <f t="shared" si="0"/>
        <v>3425</v>
      </c>
      <c r="Q22" s="1">
        <f t="shared" si="0"/>
        <v>5021</v>
      </c>
      <c r="R22" s="1">
        <f t="shared" si="0"/>
        <v>1368</v>
      </c>
      <c r="S22" s="1">
        <f t="shared" si="0"/>
        <v>3651</v>
      </c>
      <c r="T22" s="1">
        <v>5150</v>
      </c>
      <c r="U22" s="1">
        <v>2439</v>
      </c>
      <c r="V22" s="1">
        <v>2711</v>
      </c>
      <c r="W22" s="1">
        <f t="shared" si="0"/>
        <v>1040</v>
      </c>
      <c r="X22" s="1">
        <f t="shared" si="0"/>
        <v>657</v>
      </c>
      <c r="Y22" s="1">
        <f t="shared" si="0"/>
        <v>393</v>
      </c>
      <c r="Z22" s="1">
        <f t="shared" si="0"/>
        <v>1243</v>
      </c>
      <c r="AA22" s="1">
        <f t="shared" si="0"/>
        <v>744</v>
      </c>
      <c r="AB22" s="1">
        <f t="shared" si="0"/>
        <v>499</v>
      </c>
      <c r="AC22" s="1">
        <f t="shared" si="0"/>
        <v>1232</v>
      </c>
      <c r="AD22" s="1">
        <f t="shared" si="0"/>
        <v>668</v>
      </c>
      <c r="AE22" s="1">
        <f t="shared" si="0"/>
        <v>564</v>
      </c>
      <c r="AF22" s="1">
        <f t="shared" si="0"/>
        <v>1179</v>
      </c>
      <c r="AG22" s="1">
        <f t="shared" si="0"/>
        <v>710</v>
      </c>
      <c r="AH22" s="1">
        <f t="shared" si="0"/>
        <v>469</v>
      </c>
      <c r="AI22" s="1">
        <f t="shared" si="0"/>
        <v>1082</v>
      </c>
      <c r="AJ22" s="1">
        <f t="shared" si="0"/>
        <v>644</v>
      </c>
      <c r="AK22" s="1">
        <f t="shared" ref="AK22:BV22" si="1">SUM(AK7:AK21)</f>
        <v>438</v>
      </c>
      <c r="AL22" s="1">
        <f t="shared" si="1"/>
        <v>960</v>
      </c>
      <c r="AM22" s="1">
        <f t="shared" si="1"/>
        <v>492</v>
      </c>
      <c r="AN22" s="1">
        <f t="shared" si="1"/>
        <v>468</v>
      </c>
      <c r="AO22" s="1">
        <v>895</v>
      </c>
      <c r="AP22" s="1">
        <v>666</v>
      </c>
      <c r="AQ22" s="1">
        <v>229</v>
      </c>
      <c r="AR22" s="1">
        <f t="shared" si="1"/>
        <v>217</v>
      </c>
      <c r="AS22" s="1">
        <f t="shared" si="1"/>
        <v>89</v>
      </c>
      <c r="AT22" s="1">
        <f t="shared" si="1"/>
        <v>128</v>
      </c>
      <c r="AU22" s="1">
        <f t="shared" si="1"/>
        <v>299</v>
      </c>
      <c r="AV22" s="1">
        <f t="shared" si="1"/>
        <v>108</v>
      </c>
      <c r="AW22" s="1">
        <f t="shared" si="1"/>
        <v>191</v>
      </c>
      <c r="AX22" s="1">
        <f t="shared" si="1"/>
        <v>275</v>
      </c>
      <c r="AY22" s="1">
        <f t="shared" si="1"/>
        <v>99</v>
      </c>
      <c r="AZ22" s="1">
        <f t="shared" si="1"/>
        <v>176</v>
      </c>
      <c r="BA22" s="1">
        <f t="shared" si="1"/>
        <v>264</v>
      </c>
      <c r="BB22" s="1">
        <f t="shared" si="1"/>
        <v>63</v>
      </c>
      <c r="BC22" s="1">
        <f t="shared" si="1"/>
        <v>201</v>
      </c>
      <c r="BD22" s="1">
        <f t="shared" si="1"/>
        <v>231</v>
      </c>
      <c r="BE22" s="1">
        <f t="shared" si="1"/>
        <v>51</v>
      </c>
      <c r="BF22" s="1">
        <f t="shared" si="1"/>
        <v>180</v>
      </c>
      <c r="BG22" s="1">
        <f t="shared" si="1"/>
        <v>225</v>
      </c>
      <c r="BH22" s="1">
        <f t="shared" si="1"/>
        <v>36</v>
      </c>
      <c r="BI22" s="1">
        <f t="shared" si="1"/>
        <v>189</v>
      </c>
      <c r="BJ22" s="1">
        <v>235</v>
      </c>
      <c r="BK22" s="1">
        <v>140</v>
      </c>
      <c r="BL22" s="1">
        <v>95</v>
      </c>
      <c r="BM22" s="1">
        <f t="shared" si="1"/>
        <v>70</v>
      </c>
      <c r="BN22" s="1">
        <f t="shared" si="1"/>
        <v>70</v>
      </c>
      <c r="BO22" s="1">
        <f t="shared" si="1"/>
        <v>0</v>
      </c>
      <c r="BP22" s="1">
        <f t="shared" si="1"/>
        <v>88</v>
      </c>
      <c r="BQ22" s="1">
        <f t="shared" si="1"/>
        <v>88</v>
      </c>
      <c r="BR22" s="1">
        <f t="shared" si="1"/>
        <v>0</v>
      </c>
      <c r="BS22" s="1">
        <f t="shared" si="1"/>
        <v>93</v>
      </c>
      <c r="BT22" s="1">
        <f t="shared" si="1"/>
        <v>93</v>
      </c>
      <c r="BU22" s="1">
        <f t="shared" si="1"/>
        <v>0</v>
      </c>
      <c r="BV22" s="1">
        <f t="shared" si="1"/>
        <v>101</v>
      </c>
      <c r="BW22" s="1">
        <f t="shared" ref="BW22:CD22" si="2">SUM(BW7:BW21)</f>
        <v>101</v>
      </c>
      <c r="BX22" s="1">
        <f t="shared" si="2"/>
        <v>0</v>
      </c>
      <c r="BY22" s="1">
        <f t="shared" si="2"/>
        <v>104</v>
      </c>
      <c r="BZ22" s="1">
        <f t="shared" si="2"/>
        <v>99</v>
      </c>
      <c r="CA22" s="1">
        <f t="shared" si="2"/>
        <v>5</v>
      </c>
      <c r="CB22" s="1">
        <f t="shared" si="2"/>
        <v>105</v>
      </c>
      <c r="CC22" s="1">
        <f t="shared" si="2"/>
        <v>99</v>
      </c>
      <c r="CD22" s="1">
        <f t="shared" si="2"/>
        <v>6</v>
      </c>
      <c r="CE22" s="1">
        <v>106</v>
      </c>
      <c r="CF22" s="1">
        <v>98</v>
      </c>
      <c r="CG22" s="1">
        <v>8</v>
      </c>
    </row>
  </sheetData>
  <mergeCells count="34">
    <mergeCell ref="CE5:CG5"/>
    <mergeCell ref="BM4:CG4"/>
    <mergeCell ref="B3:CG3"/>
    <mergeCell ref="B4:V4"/>
    <mergeCell ref="AO5:AQ5"/>
    <mergeCell ref="W4:AQ4"/>
    <mergeCell ref="AR4:BL4"/>
    <mergeCell ref="BJ5:BL5"/>
    <mergeCell ref="BM5:BO5"/>
    <mergeCell ref="BD5:BF5"/>
    <mergeCell ref="N5:P5"/>
    <mergeCell ref="AR5:AT5"/>
    <mergeCell ref="AU5:AW5"/>
    <mergeCell ref="AX5:AZ5"/>
    <mergeCell ref="BA5:BC5"/>
    <mergeCell ref="W5:Y5"/>
    <mergeCell ref="A3:A6"/>
    <mergeCell ref="B5:D5"/>
    <mergeCell ref="E5:G5"/>
    <mergeCell ref="K5:M5"/>
    <mergeCell ref="Z5:AB5"/>
    <mergeCell ref="Q5:S5"/>
    <mergeCell ref="BG5:BI5"/>
    <mergeCell ref="CB5:CD5"/>
    <mergeCell ref="BP5:BR5"/>
    <mergeCell ref="H5:J5"/>
    <mergeCell ref="BY5:CA5"/>
    <mergeCell ref="BS5:BU5"/>
    <mergeCell ref="BV5:BX5"/>
    <mergeCell ref="AL5:AN5"/>
    <mergeCell ref="T5:V5"/>
    <mergeCell ref="AC5:AE5"/>
    <mergeCell ref="AF5:AH5"/>
    <mergeCell ref="AI5:AK5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E21"/>
  <sheetViews>
    <sheetView tabSelected="1" workbookViewId="0">
      <selection activeCell="I26" sqref="I26"/>
    </sheetView>
  </sheetViews>
  <sheetFormatPr defaultRowHeight="15"/>
  <cols>
    <col min="1" max="1" width="13.85546875" customWidth="1"/>
    <col min="2" max="6" width="10.85546875" customWidth="1"/>
    <col min="7" max="8" width="11.28515625" customWidth="1"/>
    <col min="9" max="28" width="10.140625" customWidth="1"/>
  </cols>
  <sheetData>
    <row r="1" spans="1:31" s="4" customFormat="1" ht="15.75">
      <c r="A1" s="14" t="s">
        <v>41</v>
      </c>
    </row>
    <row r="2" spans="1:31" s="4" customFormat="1" ht="12.75"/>
    <row r="3" spans="1:31" s="4" customFormat="1" ht="13.5" customHeight="1">
      <c r="A3" s="52" t="s">
        <v>18</v>
      </c>
      <c r="B3" s="40" t="s">
        <v>19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</row>
    <row r="4" spans="1:31" s="4" customFormat="1" ht="13.5" customHeight="1">
      <c r="A4" s="53"/>
      <c r="B4" s="55" t="s">
        <v>20</v>
      </c>
      <c r="C4" s="56"/>
      <c r="D4" s="56"/>
      <c r="E4" s="56"/>
      <c r="F4" s="56"/>
      <c r="G4" s="56"/>
      <c r="H4" s="57"/>
      <c r="I4" s="58" t="s">
        <v>21</v>
      </c>
      <c r="J4" s="59"/>
      <c r="K4" s="59"/>
      <c r="L4" s="59"/>
      <c r="M4" s="59"/>
      <c r="N4" s="59"/>
      <c r="O4" s="60"/>
      <c r="P4" s="55" t="s">
        <v>22</v>
      </c>
      <c r="Q4" s="56"/>
      <c r="R4" s="56"/>
      <c r="S4" s="56"/>
      <c r="T4" s="56"/>
      <c r="U4" s="56"/>
      <c r="V4" s="57"/>
      <c r="W4" s="61" t="s">
        <v>23</v>
      </c>
      <c r="X4" s="61"/>
      <c r="Y4" s="61"/>
      <c r="Z4" s="61"/>
      <c r="AA4" s="61"/>
      <c r="AB4" s="61"/>
      <c r="AC4" s="61"/>
    </row>
    <row r="5" spans="1:31" s="4" customFormat="1" ht="13.5" customHeight="1">
      <c r="A5" s="54"/>
      <c r="B5" s="6">
        <v>2010</v>
      </c>
      <c r="C5" s="6">
        <v>2011</v>
      </c>
      <c r="D5" s="6">
        <v>2012</v>
      </c>
      <c r="E5" s="6">
        <v>2013</v>
      </c>
      <c r="F5" s="6">
        <v>2014</v>
      </c>
      <c r="G5" s="15">
        <v>2015</v>
      </c>
      <c r="H5" s="20">
        <v>2016</v>
      </c>
      <c r="I5" s="6">
        <v>2010</v>
      </c>
      <c r="J5" s="6">
        <v>2011</v>
      </c>
      <c r="K5" s="6">
        <v>2012</v>
      </c>
      <c r="L5" s="6">
        <v>2013</v>
      </c>
      <c r="M5" s="6">
        <v>2014</v>
      </c>
      <c r="N5" s="15">
        <v>2015</v>
      </c>
      <c r="O5" s="20">
        <v>2016</v>
      </c>
      <c r="P5" s="6">
        <v>2010</v>
      </c>
      <c r="Q5" s="6">
        <v>2011</v>
      </c>
      <c r="R5" s="6">
        <v>2012</v>
      </c>
      <c r="S5" s="6">
        <v>2013</v>
      </c>
      <c r="T5" s="6">
        <v>2014</v>
      </c>
      <c r="U5" s="7">
        <v>2015</v>
      </c>
      <c r="V5" s="20">
        <v>2016</v>
      </c>
      <c r="W5" s="15">
        <v>2010</v>
      </c>
      <c r="X5" s="15">
        <v>2011</v>
      </c>
      <c r="Y5" s="15">
        <v>2012</v>
      </c>
      <c r="Z5" s="15">
        <v>2013</v>
      </c>
      <c r="AA5" s="15">
        <v>2014</v>
      </c>
      <c r="AB5" s="15">
        <v>2015</v>
      </c>
      <c r="AC5" s="20">
        <v>2016</v>
      </c>
      <c r="AD5" s="5"/>
      <c r="AE5" s="5"/>
    </row>
    <row r="6" spans="1:31" s="27" customFormat="1" ht="15.75" customHeight="1">
      <c r="A6" s="22" t="s">
        <v>14</v>
      </c>
      <c r="B6" s="22">
        <v>1756256.9</v>
      </c>
      <c r="C6" s="22">
        <v>2182407.7000000002</v>
      </c>
      <c r="D6" s="22">
        <v>3497658.5</v>
      </c>
      <c r="E6" s="22">
        <v>4039552.1</v>
      </c>
      <c r="F6" s="22">
        <v>4860682.2</v>
      </c>
      <c r="G6" s="22">
        <v>5696265.4000000004</v>
      </c>
      <c r="H6" s="22">
        <v>6290830.7000000002</v>
      </c>
      <c r="I6" s="22">
        <v>390002.3</v>
      </c>
      <c r="J6" s="22">
        <v>476167.3</v>
      </c>
      <c r="K6" s="22">
        <v>755616.3</v>
      </c>
      <c r="L6" s="22">
        <v>835104.3</v>
      </c>
      <c r="M6" s="22">
        <v>961740.7</v>
      </c>
      <c r="N6" s="22">
        <v>1012251.4</v>
      </c>
      <c r="O6" s="22">
        <v>982767.1</v>
      </c>
      <c r="P6" s="23">
        <v>104693.6</v>
      </c>
      <c r="Q6" s="22">
        <v>114121.5</v>
      </c>
      <c r="R6" s="22">
        <v>168581.8</v>
      </c>
      <c r="S6" s="23">
        <v>189523.1</v>
      </c>
      <c r="T6" s="23">
        <v>217833.7</v>
      </c>
      <c r="U6" s="23">
        <v>225260.7</v>
      </c>
      <c r="V6" s="23">
        <v>245836.1</v>
      </c>
      <c r="W6" s="22">
        <v>119905.4</v>
      </c>
      <c r="X6" s="22">
        <v>154669.9</v>
      </c>
      <c r="Y6" s="22">
        <v>300993.7</v>
      </c>
      <c r="Z6" s="22">
        <v>372084.9</v>
      </c>
      <c r="AA6" s="23">
        <v>418107.8</v>
      </c>
      <c r="AB6" s="23">
        <v>469667</v>
      </c>
      <c r="AC6" s="24">
        <v>508102.8</v>
      </c>
      <c r="AD6" s="25"/>
      <c r="AE6" s="26"/>
    </row>
    <row r="7" spans="1:31" s="27" customFormat="1" ht="15.75" customHeight="1">
      <c r="A7" s="22" t="s">
        <v>15</v>
      </c>
      <c r="B7" s="22">
        <v>293638.59999999998</v>
      </c>
      <c r="C7" s="22">
        <v>351405.4</v>
      </c>
      <c r="D7" s="22">
        <v>551069.30000000005</v>
      </c>
      <c r="E7" s="22">
        <v>600346.4</v>
      </c>
      <c r="F7" s="22">
        <v>748798.5</v>
      </c>
      <c r="G7" s="22">
        <v>850489.4</v>
      </c>
      <c r="H7" s="22">
        <v>914808.1</v>
      </c>
      <c r="I7" s="22">
        <v>65465.3</v>
      </c>
      <c r="J7" s="22">
        <v>76271.3</v>
      </c>
      <c r="K7" s="22">
        <v>131366.79999999999</v>
      </c>
      <c r="L7" s="22">
        <v>137951.79999999999</v>
      </c>
      <c r="M7" s="22">
        <v>162322.9</v>
      </c>
      <c r="N7" s="22">
        <v>167151.4</v>
      </c>
      <c r="O7" s="22">
        <v>16259.5</v>
      </c>
      <c r="P7" s="22">
        <v>14755.2</v>
      </c>
      <c r="Q7" s="22">
        <v>17709.599999999999</v>
      </c>
      <c r="R7" s="22">
        <v>28802.799999999999</v>
      </c>
      <c r="S7" s="22">
        <v>33407.599999999999</v>
      </c>
      <c r="T7" s="22">
        <v>34912.1</v>
      </c>
      <c r="U7" s="22">
        <v>43465.7</v>
      </c>
      <c r="V7" s="22">
        <v>41861.300000000003</v>
      </c>
      <c r="W7" s="22">
        <v>2370.5</v>
      </c>
      <c r="X7" s="22">
        <v>2866.7</v>
      </c>
      <c r="Y7" s="22">
        <v>4963.2</v>
      </c>
      <c r="Z7" s="22">
        <v>5537.6</v>
      </c>
      <c r="AA7" s="23">
        <v>7661.5</v>
      </c>
      <c r="AB7" s="23">
        <v>7357.1</v>
      </c>
      <c r="AC7" s="28">
        <v>7035.1</v>
      </c>
      <c r="AD7" s="29"/>
      <c r="AE7" s="26"/>
    </row>
    <row r="8" spans="1:31" s="27" customFormat="1" ht="15.75" customHeight="1">
      <c r="A8" s="22" t="s">
        <v>5</v>
      </c>
      <c r="B8" s="22">
        <v>145034.4</v>
      </c>
      <c r="C8" s="22">
        <v>174097.8</v>
      </c>
      <c r="D8" s="23">
        <v>263919</v>
      </c>
      <c r="E8" s="22">
        <v>291200.40000000002</v>
      </c>
      <c r="F8" s="22">
        <v>331222.5</v>
      </c>
      <c r="G8" s="22">
        <v>392281.2</v>
      </c>
      <c r="H8" s="22">
        <v>422782.9</v>
      </c>
      <c r="I8" s="23">
        <v>14419</v>
      </c>
      <c r="J8" s="22">
        <v>16572.2</v>
      </c>
      <c r="K8" s="22">
        <v>25130.7</v>
      </c>
      <c r="L8" s="22">
        <v>23719.8</v>
      </c>
      <c r="M8" s="22">
        <v>34850.5</v>
      </c>
      <c r="N8" s="22">
        <v>33613.699999999997</v>
      </c>
      <c r="O8" s="22">
        <v>28846.6</v>
      </c>
      <c r="P8" s="22">
        <v>3134.7</v>
      </c>
      <c r="Q8" s="22">
        <v>3931.2</v>
      </c>
      <c r="R8" s="22">
        <v>8158.2</v>
      </c>
      <c r="S8" s="22">
        <v>9133.2000000000007</v>
      </c>
      <c r="T8" s="23">
        <v>11492.1</v>
      </c>
      <c r="U8" s="23">
        <v>12006.1</v>
      </c>
      <c r="V8" s="23">
        <v>13545</v>
      </c>
      <c r="W8" s="22">
        <v>2235.1999999999998</v>
      </c>
      <c r="X8" s="22">
        <v>2706.4</v>
      </c>
      <c r="Y8" s="22">
        <v>5695.5</v>
      </c>
      <c r="Z8" s="22">
        <v>6381.7</v>
      </c>
      <c r="AA8" s="23">
        <v>6545.7</v>
      </c>
      <c r="AB8" s="23">
        <v>3312.2</v>
      </c>
      <c r="AC8" s="28">
        <v>3481.2</v>
      </c>
      <c r="AD8" s="25"/>
      <c r="AE8" s="26"/>
    </row>
    <row r="9" spans="1:31" s="27" customFormat="1" ht="15.75" customHeight="1">
      <c r="A9" s="22" t="s">
        <v>24</v>
      </c>
      <c r="B9" s="22">
        <v>164291.4</v>
      </c>
      <c r="C9" s="22">
        <v>202063.5</v>
      </c>
      <c r="D9" s="22">
        <v>316478.09999999998</v>
      </c>
      <c r="E9" s="22">
        <v>359595.4</v>
      </c>
      <c r="F9" s="22">
        <v>453859.1</v>
      </c>
      <c r="G9" s="22">
        <v>533222.19999999995</v>
      </c>
      <c r="H9" s="22">
        <v>554815.19999999995</v>
      </c>
      <c r="I9" s="22">
        <v>39057.4</v>
      </c>
      <c r="J9" s="22">
        <v>45483.8</v>
      </c>
      <c r="K9" s="22">
        <v>76331.7</v>
      </c>
      <c r="L9" s="22">
        <v>85604.3</v>
      </c>
      <c r="M9" s="22">
        <v>104682.5</v>
      </c>
      <c r="N9" s="22">
        <v>125884.5</v>
      </c>
      <c r="O9" s="22">
        <v>142729.9</v>
      </c>
      <c r="P9" s="22" t="s">
        <v>38</v>
      </c>
      <c r="Q9" s="22">
        <v>9704.5</v>
      </c>
      <c r="R9" s="22">
        <v>14301.5</v>
      </c>
      <c r="S9" s="22">
        <v>17288.400000000001</v>
      </c>
      <c r="T9" s="22">
        <v>21511.200000000001</v>
      </c>
      <c r="U9" s="22">
        <v>26479.5</v>
      </c>
      <c r="V9" s="22">
        <v>30186.799999999999</v>
      </c>
      <c r="W9" s="22">
        <v>2899.7</v>
      </c>
      <c r="X9" s="22">
        <v>3506.7</v>
      </c>
      <c r="Y9" s="22">
        <v>7102.3</v>
      </c>
      <c r="Z9" s="22">
        <v>7720.9</v>
      </c>
      <c r="AA9" s="23">
        <v>8204.9</v>
      </c>
      <c r="AB9" s="23">
        <v>8757.2000000000007</v>
      </c>
      <c r="AC9" s="28">
        <v>9097.4</v>
      </c>
      <c r="AD9" s="29"/>
      <c r="AE9" s="26"/>
    </row>
    <row r="10" spans="1:31" s="27" customFormat="1" ht="15.75" customHeight="1">
      <c r="A10" s="22" t="s">
        <v>7</v>
      </c>
      <c r="B10" s="22">
        <v>225988.1</v>
      </c>
      <c r="C10" s="22">
        <v>273496.59999999998</v>
      </c>
      <c r="D10" s="22">
        <v>438843.5</v>
      </c>
      <c r="E10" s="22">
        <v>467681.5</v>
      </c>
      <c r="F10" s="22">
        <v>576388.5</v>
      </c>
      <c r="G10" s="22">
        <v>662521.5</v>
      </c>
      <c r="H10" s="22">
        <v>709199.9</v>
      </c>
      <c r="I10" s="23">
        <v>52502</v>
      </c>
      <c r="J10" s="22">
        <v>58164.6</v>
      </c>
      <c r="K10" s="22">
        <v>88432.7</v>
      </c>
      <c r="L10" s="22">
        <v>100032.7</v>
      </c>
      <c r="M10" s="22">
        <v>114369.60000000001</v>
      </c>
      <c r="N10" s="22">
        <v>116950.9</v>
      </c>
      <c r="O10" s="22">
        <v>112452.3</v>
      </c>
      <c r="P10" s="22">
        <v>10662.5</v>
      </c>
      <c r="Q10" s="22">
        <v>11619.2</v>
      </c>
      <c r="R10" s="23">
        <v>16795</v>
      </c>
      <c r="S10" s="22">
        <v>19348.900000000001</v>
      </c>
      <c r="T10" s="22">
        <v>19663.7</v>
      </c>
      <c r="U10" s="22">
        <v>22050.799999999999</v>
      </c>
      <c r="V10" s="22">
        <v>23443.4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5"/>
      <c r="AE10" s="26"/>
    </row>
    <row r="11" spans="1:31" s="27" customFormat="1" ht="15.75" customHeight="1">
      <c r="A11" s="22" t="s">
        <v>11</v>
      </c>
      <c r="B11" s="22">
        <v>272865.3</v>
      </c>
      <c r="C11" s="23">
        <v>343452</v>
      </c>
      <c r="D11" s="22">
        <v>519247.1</v>
      </c>
      <c r="E11" s="22">
        <v>562926.4</v>
      </c>
      <c r="F11" s="22">
        <v>679025.2</v>
      </c>
      <c r="G11" s="22">
        <v>788881.1</v>
      </c>
      <c r="H11" s="22">
        <v>844855.6</v>
      </c>
      <c r="I11" s="22">
        <v>60390.9</v>
      </c>
      <c r="J11" s="22">
        <v>67384.2</v>
      </c>
      <c r="K11" s="22">
        <v>103549.8</v>
      </c>
      <c r="L11" s="22">
        <v>111904.8</v>
      </c>
      <c r="M11" s="22">
        <v>129825.3</v>
      </c>
      <c r="N11" s="22">
        <v>145424.6</v>
      </c>
      <c r="O11" s="22">
        <v>133638.29999999999</v>
      </c>
      <c r="P11" s="22">
        <v>12347.2</v>
      </c>
      <c r="Q11" s="22">
        <v>18291.3</v>
      </c>
      <c r="R11" s="22">
        <v>31831.9</v>
      </c>
      <c r="S11" s="22">
        <v>34359.599999999999</v>
      </c>
      <c r="T11" s="23">
        <v>38200</v>
      </c>
      <c r="U11" s="23">
        <v>39829.4</v>
      </c>
      <c r="V11" s="23">
        <v>43270.400000000001</v>
      </c>
      <c r="W11" s="22">
        <v>2720.9</v>
      </c>
      <c r="X11" s="22">
        <v>3290.4</v>
      </c>
      <c r="Y11" s="22">
        <v>3176.7</v>
      </c>
      <c r="Z11" s="22">
        <v>3352</v>
      </c>
      <c r="AA11" s="23">
        <v>3594</v>
      </c>
      <c r="AB11" s="23">
        <v>3928.4</v>
      </c>
      <c r="AC11" s="28">
        <v>4103.8</v>
      </c>
      <c r="AD11" s="29"/>
      <c r="AE11" s="26"/>
    </row>
    <row r="12" spans="1:31" s="27" customFormat="1" ht="15.75" customHeight="1">
      <c r="A12" s="22" t="s">
        <v>1</v>
      </c>
      <c r="B12" s="22">
        <v>251036.5</v>
      </c>
      <c r="C12" s="22">
        <v>287481.59999999998</v>
      </c>
      <c r="D12" s="22">
        <v>461506.2</v>
      </c>
      <c r="E12" s="22">
        <v>515964.8</v>
      </c>
      <c r="F12" s="22">
        <v>607233.5</v>
      </c>
      <c r="G12" s="22">
        <v>679515.4</v>
      </c>
      <c r="H12" s="22">
        <v>741115.9</v>
      </c>
      <c r="I12" s="22">
        <v>45167.5</v>
      </c>
      <c r="J12" s="22">
        <v>54455.7</v>
      </c>
      <c r="K12" s="22">
        <v>85334.8</v>
      </c>
      <c r="L12" s="22">
        <v>88221.4</v>
      </c>
      <c r="M12" s="23">
        <v>95929</v>
      </c>
      <c r="N12" s="23">
        <v>99525.3</v>
      </c>
      <c r="O12" s="23">
        <v>109519.8</v>
      </c>
      <c r="P12" s="23">
        <v>8970</v>
      </c>
      <c r="Q12" s="23">
        <v>8458</v>
      </c>
      <c r="R12" s="22">
        <v>12940.5</v>
      </c>
      <c r="S12" s="22">
        <v>13224.3</v>
      </c>
      <c r="T12" s="23">
        <v>16445</v>
      </c>
      <c r="U12" s="23">
        <v>19099.900000000001</v>
      </c>
      <c r="V12" s="23">
        <v>20755.900000000001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3">
        <v>0</v>
      </c>
      <c r="AC12" s="28">
        <v>0</v>
      </c>
      <c r="AD12" s="25"/>
      <c r="AE12" s="26"/>
    </row>
    <row r="13" spans="1:31" s="27" customFormat="1" ht="15.75" customHeight="1">
      <c r="A13" s="22" t="s">
        <v>2</v>
      </c>
      <c r="B13" s="22">
        <v>251491.5</v>
      </c>
      <c r="C13" s="22">
        <v>308683.7</v>
      </c>
      <c r="D13" s="22">
        <v>480876.6</v>
      </c>
      <c r="E13" s="22">
        <v>531208.4</v>
      </c>
      <c r="F13" s="22">
        <v>641134.5</v>
      </c>
      <c r="G13" s="22">
        <v>739343.6</v>
      </c>
      <c r="H13" s="22">
        <v>800878</v>
      </c>
      <c r="I13" s="22">
        <v>46029.3</v>
      </c>
      <c r="J13" s="22">
        <v>52837.1</v>
      </c>
      <c r="K13" s="23">
        <v>85842</v>
      </c>
      <c r="L13" s="22">
        <v>88335.1</v>
      </c>
      <c r="M13" s="22">
        <v>95799.3</v>
      </c>
      <c r="N13" s="22">
        <v>99635.9</v>
      </c>
      <c r="O13" s="22">
        <v>111271.2</v>
      </c>
      <c r="P13" s="22">
        <v>15835.6</v>
      </c>
      <c r="Q13" s="22">
        <v>15389.7</v>
      </c>
      <c r="R13" s="22">
        <v>24748.799999999999</v>
      </c>
      <c r="S13" s="22">
        <v>23921</v>
      </c>
      <c r="T13" s="22">
        <v>28326.3</v>
      </c>
      <c r="U13" s="22">
        <v>29061.4</v>
      </c>
      <c r="V13" s="22">
        <v>24609.4</v>
      </c>
      <c r="W13" s="22">
        <v>1044.9000000000001</v>
      </c>
      <c r="X13" s="22">
        <v>1263.5999999999999</v>
      </c>
      <c r="Y13" s="22">
        <v>3402.7</v>
      </c>
      <c r="Z13" s="22">
        <v>7201.8</v>
      </c>
      <c r="AA13" s="23">
        <v>7755.2</v>
      </c>
      <c r="AB13" s="23">
        <v>8295.9</v>
      </c>
      <c r="AC13" s="28">
        <v>8634.6</v>
      </c>
      <c r="AD13" s="25"/>
      <c r="AE13" s="26"/>
    </row>
    <row r="14" spans="1:31" s="27" customFormat="1" ht="15.75" customHeight="1">
      <c r="A14" s="22" t="s">
        <v>10</v>
      </c>
      <c r="B14" s="22">
        <v>193492.3</v>
      </c>
      <c r="C14" s="22">
        <v>241900.6</v>
      </c>
      <c r="D14" s="22">
        <v>382157.5</v>
      </c>
      <c r="E14" s="22">
        <v>422971.4</v>
      </c>
      <c r="F14" s="22">
        <v>488377.3</v>
      </c>
      <c r="G14" s="22">
        <v>580034.5</v>
      </c>
      <c r="H14" s="22">
        <v>631875.30000000005</v>
      </c>
      <c r="I14" s="22">
        <v>51369.2</v>
      </c>
      <c r="J14" s="22">
        <v>56552.7</v>
      </c>
      <c r="K14" s="22">
        <v>87942.1</v>
      </c>
      <c r="L14" s="22">
        <v>82002.2</v>
      </c>
      <c r="M14" s="22">
        <v>101995.4</v>
      </c>
      <c r="N14" s="22">
        <v>108764.1</v>
      </c>
      <c r="O14" s="22">
        <v>94817.600000000006</v>
      </c>
      <c r="P14" s="22">
        <v>6452.3</v>
      </c>
      <c r="Q14" s="23">
        <v>7676</v>
      </c>
      <c r="R14" s="22">
        <v>16993.3</v>
      </c>
      <c r="S14" s="22">
        <v>21055.4</v>
      </c>
      <c r="T14" s="23">
        <v>25585</v>
      </c>
      <c r="U14" s="23">
        <v>28286.2</v>
      </c>
      <c r="V14" s="23">
        <v>32704.400000000001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9"/>
      <c r="AE14" s="26"/>
    </row>
    <row r="15" spans="1:31" s="27" customFormat="1" ht="15.75" customHeight="1">
      <c r="A15" s="22" t="s">
        <v>8</v>
      </c>
      <c r="B15" s="22">
        <v>234729.60000000001</v>
      </c>
      <c r="C15" s="22">
        <v>280479.2</v>
      </c>
      <c r="D15" s="22">
        <v>447546.2</v>
      </c>
      <c r="E15" s="22">
        <v>503439.7</v>
      </c>
      <c r="F15" s="22">
        <v>633065.4</v>
      </c>
      <c r="G15" s="22">
        <v>731089.6</v>
      </c>
      <c r="H15" s="22">
        <v>799023.5</v>
      </c>
      <c r="I15" s="22">
        <v>28620</v>
      </c>
      <c r="J15" s="22">
        <v>34806.699999999997</v>
      </c>
      <c r="K15" s="23">
        <v>61867</v>
      </c>
      <c r="L15" s="22">
        <v>67344.2</v>
      </c>
      <c r="M15" s="22">
        <v>105885.5</v>
      </c>
      <c r="N15" s="22">
        <v>112579.8</v>
      </c>
      <c r="O15" s="22">
        <v>111140.7</v>
      </c>
      <c r="P15" s="22">
        <v>10056.9</v>
      </c>
      <c r="Q15" s="22">
        <v>10452.9</v>
      </c>
      <c r="R15" s="22">
        <v>18310.3</v>
      </c>
      <c r="S15" s="22">
        <v>19884.8</v>
      </c>
      <c r="T15" s="22">
        <v>20129.099999999999</v>
      </c>
      <c r="U15" s="22">
        <v>21973</v>
      </c>
      <c r="V15" s="22">
        <v>27440.7</v>
      </c>
      <c r="W15" s="22">
        <v>3615.3</v>
      </c>
      <c r="X15" s="23">
        <v>4372</v>
      </c>
      <c r="Y15" s="22">
        <v>9002.7000000000007</v>
      </c>
      <c r="Z15" s="23">
        <v>9974</v>
      </c>
      <c r="AA15" s="23">
        <v>10492.5</v>
      </c>
      <c r="AB15" s="23">
        <v>11442.2</v>
      </c>
      <c r="AC15" s="28">
        <v>11818.6</v>
      </c>
      <c r="AD15" s="25"/>
      <c r="AE15" s="26"/>
    </row>
    <row r="16" spans="1:31" s="27" customFormat="1" ht="15.75" customHeight="1">
      <c r="A16" s="22" t="s">
        <v>6</v>
      </c>
      <c r="B16" s="22">
        <v>155996.79999999999</v>
      </c>
      <c r="C16" s="22">
        <v>192166.9</v>
      </c>
      <c r="D16" s="22">
        <v>292001.8</v>
      </c>
      <c r="E16" s="22">
        <v>311229.2</v>
      </c>
      <c r="F16" s="22">
        <v>368024.2</v>
      </c>
      <c r="G16" s="22">
        <v>431517.3</v>
      </c>
      <c r="H16" s="22">
        <v>463061.9</v>
      </c>
      <c r="I16" s="22">
        <v>25993.3</v>
      </c>
      <c r="J16" s="22">
        <v>27586.9</v>
      </c>
      <c r="K16" s="22">
        <v>48229.7</v>
      </c>
      <c r="L16" s="22">
        <v>54634.1</v>
      </c>
      <c r="M16" s="22">
        <v>72121.399999999994</v>
      </c>
      <c r="N16" s="22">
        <v>82506.8</v>
      </c>
      <c r="O16" s="22">
        <v>80663.399999999994</v>
      </c>
      <c r="P16" s="22">
        <v>5734.8</v>
      </c>
      <c r="Q16" s="22">
        <v>6107.4</v>
      </c>
      <c r="R16" s="22">
        <v>12937.9</v>
      </c>
      <c r="S16" s="22">
        <v>14744.7</v>
      </c>
      <c r="T16" s="23">
        <v>16344</v>
      </c>
      <c r="U16" s="23">
        <v>16003.7</v>
      </c>
      <c r="V16" s="23">
        <v>16170.8</v>
      </c>
      <c r="W16" s="22">
        <v>1044.9000000000001</v>
      </c>
      <c r="X16" s="22">
        <v>1263.5999999999999</v>
      </c>
      <c r="Y16" s="22">
        <v>1968.6</v>
      </c>
      <c r="Z16" s="22">
        <v>2163.6</v>
      </c>
      <c r="AA16" s="23">
        <v>2460.6</v>
      </c>
      <c r="AB16" s="23">
        <v>2737.3</v>
      </c>
      <c r="AC16" s="24">
        <v>1150</v>
      </c>
      <c r="AD16" s="25"/>
      <c r="AE16" s="26"/>
    </row>
    <row r="17" spans="1:31" s="27" customFormat="1" ht="15.75" customHeight="1">
      <c r="A17" s="22" t="s">
        <v>25</v>
      </c>
      <c r="B17" s="22">
        <v>235404.5</v>
      </c>
      <c r="C17" s="22">
        <v>280008.40000000002</v>
      </c>
      <c r="D17" s="23">
        <v>437745</v>
      </c>
      <c r="E17" s="22">
        <v>478225.7</v>
      </c>
      <c r="F17" s="22">
        <v>543867.5</v>
      </c>
      <c r="G17" s="22">
        <v>637341.30000000005</v>
      </c>
      <c r="H17" s="22">
        <v>721458.5</v>
      </c>
      <c r="I17" s="22">
        <v>36622.199999999997</v>
      </c>
      <c r="J17" s="22">
        <v>40116.9</v>
      </c>
      <c r="K17" s="22">
        <v>66620.600000000006</v>
      </c>
      <c r="L17" s="22">
        <v>69330.399999999994</v>
      </c>
      <c r="M17" s="22">
        <v>70016.600000000006</v>
      </c>
      <c r="N17" s="22">
        <v>69627.7</v>
      </c>
      <c r="O17" s="22">
        <v>67598.3</v>
      </c>
      <c r="P17" s="22">
        <v>6050.2</v>
      </c>
      <c r="Q17" s="22">
        <v>9146.9</v>
      </c>
      <c r="R17" s="23">
        <v>14003.1</v>
      </c>
      <c r="S17" s="22">
        <v>10155.9</v>
      </c>
      <c r="T17" s="23">
        <v>11076</v>
      </c>
      <c r="U17" s="23">
        <v>13017.5</v>
      </c>
      <c r="V17" s="23">
        <v>13613.4</v>
      </c>
      <c r="W17" s="22">
        <v>4743.1000000000004</v>
      </c>
      <c r="X17" s="22">
        <v>5735.8</v>
      </c>
      <c r="Y17" s="22">
        <v>10598.3</v>
      </c>
      <c r="Z17" s="22">
        <v>11738.4</v>
      </c>
      <c r="AA17" s="23">
        <v>12531.8</v>
      </c>
      <c r="AB17" s="23">
        <v>13953.3</v>
      </c>
      <c r="AC17" s="24">
        <v>16280.1</v>
      </c>
      <c r="AD17" s="25"/>
      <c r="AE17" s="26"/>
    </row>
    <row r="18" spans="1:31" s="27" customFormat="1" ht="15.75" customHeight="1">
      <c r="A18" s="22" t="s">
        <v>9</v>
      </c>
      <c r="B18" s="22">
        <v>236304.8</v>
      </c>
      <c r="C18" s="23">
        <v>289095</v>
      </c>
      <c r="D18" s="22">
        <v>449411.4</v>
      </c>
      <c r="E18" s="22">
        <v>489685.3</v>
      </c>
      <c r="F18" s="22">
        <v>590521.69999999995</v>
      </c>
      <c r="G18" s="22">
        <v>691720.5</v>
      </c>
      <c r="H18" s="22">
        <v>783757.4</v>
      </c>
      <c r="I18" s="22">
        <v>35731.4</v>
      </c>
      <c r="J18" s="22">
        <v>42427.7</v>
      </c>
      <c r="K18" s="22">
        <v>69691.100000000006</v>
      </c>
      <c r="L18" s="22">
        <v>76158.399999999994</v>
      </c>
      <c r="M18" s="22">
        <v>87840.4</v>
      </c>
      <c r="N18" s="22">
        <v>95450.5</v>
      </c>
      <c r="O18" s="22">
        <v>95067.3</v>
      </c>
      <c r="P18" s="22">
        <v>6493.6</v>
      </c>
      <c r="Q18" s="22">
        <v>3262.4</v>
      </c>
      <c r="R18" s="23">
        <v>4923</v>
      </c>
      <c r="S18" s="22">
        <v>8102.7</v>
      </c>
      <c r="T18" s="22">
        <v>13039.2</v>
      </c>
      <c r="U18" s="22">
        <v>10835.1</v>
      </c>
      <c r="V18" s="22">
        <v>11980.4</v>
      </c>
      <c r="W18" s="22">
        <v>0</v>
      </c>
      <c r="X18" s="22">
        <v>0</v>
      </c>
      <c r="Y18" s="22">
        <v>4685.3</v>
      </c>
      <c r="Z18" s="22">
        <v>5776.6</v>
      </c>
      <c r="AA18" s="23">
        <v>6018.6</v>
      </c>
      <c r="AB18" s="23">
        <v>6556.9</v>
      </c>
      <c r="AC18" s="28">
        <v>6750.9</v>
      </c>
      <c r="AD18" s="29"/>
      <c r="AE18" s="26"/>
    </row>
    <row r="19" spans="1:31" s="27" customFormat="1" ht="15.75" customHeight="1">
      <c r="A19" s="22" t="s">
        <v>4</v>
      </c>
      <c r="B19" s="22">
        <v>125312.1</v>
      </c>
      <c r="C19" s="22">
        <v>146193.29999999999</v>
      </c>
      <c r="D19" s="23">
        <v>223542</v>
      </c>
      <c r="E19" s="22">
        <v>247470.7</v>
      </c>
      <c r="F19" s="22">
        <v>299212.59999999998</v>
      </c>
      <c r="G19" s="22">
        <v>335150.09999999998</v>
      </c>
      <c r="H19" s="22">
        <v>369543.6</v>
      </c>
      <c r="I19" s="22">
        <v>18414.400000000001</v>
      </c>
      <c r="J19" s="22">
        <v>22932.400000000001</v>
      </c>
      <c r="K19" s="22">
        <v>35479.800000000003</v>
      </c>
      <c r="L19" s="22">
        <v>34871.599999999999</v>
      </c>
      <c r="M19" s="22">
        <v>47545.5</v>
      </c>
      <c r="N19" s="22">
        <v>49029.8</v>
      </c>
      <c r="O19" s="22">
        <v>38912.699999999997</v>
      </c>
      <c r="P19" s="22">
        <v>4876.2</v>
      </c>
      <c r="Q19" s="22">
        <v>4379.6000000000004</v>
      </c>
      <c r="R19" s="22">
        <v>8370.2000000000007</v>
      </c>
      <c r="S19" s="22">
        <v>15253.9</v>
      </c>
      <c r="T19" s="22">
        <v>14205.5</v>
      </c>
      <c r="U19" s="22">
        <v>21350.6</v>
      </c>
      <c r="V19" s="22">
        <v>23161.1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5"/>
      <c r="AE19" s="26"/>
    </row>
    <row r="20" spans="1:31" s="27" customFormat="1" ht="15.75" customHeight="1">
      <c r="A20" s="22" t="s">
        <v>13</v>
      </c>
      <c r="B20" s="22">
        <v>726912.1</v>
      </c>
      <c r="C20" s="22">
        <v>857242.5</v>
      </c>
      <c r="D20" s="22">
        <v>1325103.7</v>
      </c>
      <c r="E20" s="22">
        <v>1461757.5</v>
      </c>
      <c r="F20" s="22">
        <v>1747545.6</v>
      </c>
      <c r="G20" s="22">
        <v>2024396.3</v>
      </c>
      <c r="H20" s="22">
        <v>2144097.9</v>
      </c>
      <c r="I20" s="22">
        <v>142577.60000000001</v>
      </c>
      <c r="J20" s="22">
        <v>168566.8</v>
      </c>
      <c r="K20" s="23">
        <v>268368</v>
      </c>
      <c r="L20" s="23">
        <v>276532.09999999998</v>
      </c>
      <c r="M20" s="23">
        <v>323502.09999999998</v>
      </c>
      <c r="N20" s="23">
        <v>341738.1</v>
      </c>
      <c r="O20" s="23">
        <v>358305.4</v>
      </c>
      <c r="P20" s="22">
        <v>26086.1</v>
      </c>
      <c r="Q20" s="22">
        <v>27263.200000000001</v>
      </c>
      <c r="R20" s="22">
        <v>38475.5</v>
      </c>
      <c r="S20" s="22">
        <v>36481.300000000003</v>
      </c>
      <c r="T20" s="22">
        <v>38287.5</v>
      </c>
      <c r="U20" s="22">
        <v>41327.4</v>
      </c>
      <c r="V20" s="22">
        <v>54741.1</v>
      </c>
      <c r="W20" s="22">
        <v>4910.7</v>
      </c>
      <c r="X20" s="22">
        <v>5938.5</v>
      </c>
      <c r="Y20" s="22">
        <v>10675.3</v>
      </c>
      <c r="Z20" s="22">
        <v>7278.9</v>
      </c>
      <c r="AA20" s="23">
        <v>7762.9</v>
      </c>
      <c r="AB20" s="23">
        <v>8416.4</v>
      </c>
      <c r="AC20" s="24">
        <v>8037.3</v>
      </c>
      <c r="AD20" s="25"/>
      <c r="AE20" s="26"/>
    </row>
    <row r="21" spans="1:31" s="27" customFormat="1" ht="15.75" customHeight="1">
      <c r="A21" s="22" t="s">
        <v>26</v>
      </c>
      <c r="B21" s="23">
        <f t="shared" ref="B21:AB21" si="0">SUM(B6:B20)</f>
        <v>5268754.8999999985</v>
      </c>
      <c r="C21" s="23">
        <f t="shared" si="0"/>
        <v>6410174.2000000011</v>
      </c>
      <c r="D21" s="23">
        <f t="shared" si="0"/>
        <v>10087105.899999999</v>
      </c>
      <c r="E21" s="23">
        <f t="shared" si="0"/>
        <v>11283254.9</v>
      </c>
      <c r="F21" s="23">
        <f t="shared" si="0"/>
        <v>13568958.299999999</v>
      </c>
      <c r="G21" s="23">
        <f t="shared" si="0"/>
        <v>15773769.400000002</v>
      </c>
      <c r="H21" s="23">
        <f>SUM(H6:H20)</f>
        <v>17192104.400000002</v>
      </c>
      <c r="I21" s="23">
        <f t="shared" si="0"/>
        <v>1052361.8</v>
      </c>
      <c r="J21" s="23">
        <f t="shared" si="0"/>
        <v>1240326.2999999998</v>
      </c>
      <c r="K21" s="23">
        <f t="shared" si="0"/>
        <v>1989803.1000000003</v>
      </c>
      <c r="L21" s="23">
        <f t="shared" si="0"/>
        <v>2131747.2000000002</v>
      </c>
      <c r="M21" s="23">
        <f t="shared" si="0"/>
        <v>2508426.7000000002</v>
      </c>
      <c r="N21" s="23">
        <f t="shared" si="0"/>
        <v>2660134.5</v>
      </c>
      <c r="O21" s="23">
        <f>SUM(O6:O20)</f>
        <v>2483990.1</v>
      </c>
      <c r="P21" s="23">
        <f t="shared" si="0"/>
        <v>236148.90000000002</v>
      </c>
      <c r="Q21" s="23">
        <f t="shared" si="0"/>
        <v>267513.40000000002</v>
      </c>
      <c r="R21" s="23">
        <f t="shared" si="0"/>
        <v>420173.8</v>
      </c>
      <c r="S21" s="23">
        <f t="shared" si="0"/>
        <v>465884.80000000005</v>
      </c>
      <c r="T21" s="23">
        <f t="shared" si="0"/>
        <v>527050.4</v>
      </c>
      <c r="U21" s="23">
        <f t="shared" si="0"/>
        <v>570047.00000000012</v>
      </c>
      <c r="V21" s="23">
        <f>SUM(V6:V20)</f>
        <v>623320.20000000007</v>
      </c>
      <c r="W21" s="23">
        <f t="shared" si="0"/>
        <v>145490.59999999998</v>
      </c>
      <c r="X21" s="23">
        <f t="shared" si="0"/>
        <v>185613.6</v>
      </c>
      <c r="Y21" s="23">
        <f t="shared" si="0"/>
        <v>362264.3</v>
      </c>
      <c r="Z21" s="23">
        <f t="shared" si="0"/>
        <v>439210.4</v>
      </c>
      <c r="AA21" s="23">
        <f t="shared" si="0"/>
        <v>491135.5</v>
      </c>
      <c r="AB21" s="23">
        <f t="shared" si="0"/>
        <v>544423.90000000014</v>
      </c>
      <c r="AC21" s="24">
        <f>SUM(AC6:AC20)</f>
        <v>584491.80000000005</v>
      </c>
      <c r="AD21" s="25"/>
      <c r="AE21" s="30"/>
    </row>
  </sheetData>
  <mergeCells count="6">
    <mergeCell ref="A3:A5"/>
    <mergeCell ref="B4:H4"/>
    <mergeCell ref="I4:O4"/>
    <mergeCell ref="P4:V4"/>
    <mergeCell ref="W4:AC4"/>
    <mergeCell ref="B3:A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ndsh</vt:lpstr>
      <vt:lpstr>nd-daatguulagch</vt:lpstr>
      <vt:lpstr>tet awagch</vt:lpstr>
      <vt:lpstr>ndsott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Uranbileg</dc:creator>
  <cp:lastModifiedBy>user</cp:lastModifiedBy>
  <cp:lastPrinted>2016-05-23T00:58:50Z</cp:lastPrinted>
  <dcterms:created xsi:type="dcterms:W3CDTF">2013-05-03T08:28:28Z</dcterms:created>
  <dcterms:modified xsi:type="dcterms:W3CDTF">2017-02-15T02:32:59Z</dcterms:modified>
</cp:coreProperties>
</file>