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deellin san\aj vildver\"/>
    </mc:Choice>
  </mc:AlternateContent>
  <bookViews>
    <workbookView xWindow="360" yWindow="30" windowWidth="21015" windowHeight="9990" activeTab="1"/>
  </bookViews>
  <sheets>
    <sheet name="bvteegdehvvn vildwerlelt" sheetId="1" r:id="rId1"/>
    <sheet name="vildwerlelt salbaraar" sheetId="2" r:id="rId2"/>
  </sheets>
  <calcPr calcId="162913"/>
</workbook>
</file>

<file path=xl/calcChain.xml><?xml version="1.0" encoding="utf-8"?>
<calcChain xmlns="http://schemas.openxmlformats.org/spreadsheetml/2006/main">
  <c r="I17" i="2" l="1"/>
  <c r="I13" i="2"/>
  <c r="I11" i="2"/>
  <c r="I9" i="2"/>
  <c r="H9" i="2"/>
  <c r="I6" i="2"/>
  <c r="H5" i="2"/>
  <c r="O24" i="1"/>
  <c r="O38" i="1"/>
  <c r="O37" i="1"/>
  <c r="O36" i="1"/>
  <c r="O35" i="1"/>
  <c r="O34" i="1"/>
  <c r="O33" i="1"/>
  <c r="O31" i="1"/>
  <c r="O30" i="1"/>
  <c r="O29" i="1"/>
  <c r="O28" i="1"/>
  <c r="O27" i="1"/>
  <c r="O26" i="1"/>
  <c r="O25" i="1"/>
  <c r="O5" i="1"/>
  <c r="O19" i="1"/>
  <c r="O18" i="1"/>
  <c r="O17" i="1"/>
  <c r="O16" i="1"/>
  <c r="O15" i="1"/>
  <c r="O14" i="1"/>
  <c r="O12" i="1"/>
  <c r="O11" i="1"/>
  <c r="O10" i="1"/>
  <c r="O9" i="1"/>
  <c r="O8" i="1"/>
  <c r="O7" i="1"/>
  <c r="O6" i="1"/>
  <c r="I5" i="2" l="1"/>
  <c r="F20" i="2" l="1"/>
  <c r="E20" i="2"/>
  <c r="D20" i="2"/>
  <c r="C20" i="2"/>
  <c r="B20" i="2"/>
  <c r="F19" i="2"/>
  <c r="F17" i="2" s="1"/>
  <c r="E19" i="2"/>
  <c r="D19" i="2"/>
  <c r="D17" i="2" s="1"/>
  <c r="C19" i="2"/>
  <c r="B19" i="2"/>
  <c r="B17" i="2" s="1"/>
  <c r="H17" i="2"/>
  <c r="G17" i="2"/>
  <c r="E17" i="2"/>
  <c r="C17" i="2"/>
  <c r="F16" i="2"/>
  <c r="E16" i="2"/>
  <c r="D16" i="2"/>
  <c r="D9" i="2" s="1"/>
  <c r="C16" i="2"/>
  <c r="B16" i="2"/>
  <c r="E15" i="2"/>
  <c r="D15" i="2"/>
  <c r="C15" i="2"/>
  <c r="B15" i="2"/>
  <c r="E13" i="2"/>
  <c r="E12" i="2"/>
  <c r="E9" i="2" s="1"/>
  <c r="E11" i="2"/>
  <c r="G9" i="2"/>
  <c r="F9" i="2"/>
  <c r="C9" i="2"/>
  <c r="B9" i="2"/>
  <c r="F8" i="2"/>
  <c r="E8" i="2"/>
  <c r="B8" i="2"/>
  <c r="F7" i="2"/>
  <c r="F6" i="2" s="1"/>
  <c r="F5" i="2" s="1"/>
  <c r="E7" i="2"/>
  <c r="D7" i="2"/>
  <c r="D6" i="2" s="1"/>
  <c r="C7" i="2"/>
  <c r="B7" i="2"/>
  <c r="B6" i="2" s="1"/>
  <c r="B5" i="2" s="1"/>
  <c r="H6" i="2"/>
  <c r="G6" i="2"/>
  <c r="G5" i="2" s="1"/>
  <c r="E6" i="2"/>
  <c r="C6" i="2"/>
  <c r="C5" i="2" s="1"/>
  <c r="D5" i="2" l="1"/>
  <c r="E5" i="2"/>
  <c r="N24" i="1" l="1"/>
  <c r="N5" i="1"/>
  <c r="M24" i="1" l="1"/>
  <c r="M5" i="1"/>
  <c r="L38" i="1" l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J38" i="1" l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G38" i="1" l="1"/>
  <c r="G37" i="1"/>
  <c r="G26" i="1"/>
  <c r="G25" i="1"/>
  <c r="F36" i="1" l="1"/>
  <c r="F35" i="1"/>
  <c r="F34" i="1"/>
  <c r="F33" i="1"/>
  <c r="F31" i="1"/>
  <c r="F30" i="1"/>
  <c r="F28" i="1"/>
  <c r="F26" i="1"/>
  <c r="F24" i="1" s="1"/>
  <c r="F25" i="1"/>
  <c r="D38" i="1"/>
  <c r="D36" i="1"/>
  <c r="D35" i="1"/>
  <c r="D34" i="1"/>
  <c r="D33" i="1"/>
  <c r="D30" i="1"/>
  <c r="D29" i="1"/>
  <c r="D24" i="1" s="1"/>
  <c r="D28" i="1"/>
  <c r="D26" i="1"/>
  <c r="C38" i="1"/>
  <c r="C36" i="1"/>
  <c r="C34" i="1"/>
  <c r="C33" i="1"/>
  <c r="C32" i="1"/>
  <c r="C30" i="1"/>
  <c r="C24" i="1" s="1"/>
  <c r="C29" i="1"/>
  <c r="C28" i="1"/>
  <c r="C26" i="1"/>
  <c r="E24" i="1"/>
  <c r="G24" i="1"/>
  <c r="H24" i="1"/>
  <c r="I24" i="1"/>
  <c r="J24" i="1"/>
  <c r="K24" i="1"/>
  <c r="L24" i="1"/>
  <c r="B38" i="1"/>
  <c r="B36" i="1"/>
  <c r="B34" i="1"/>
  <c r="B33" i="1"/>
  <c r="B30" i="1"/>
  <c r="B29" i="1"/>
  <c r="B28" i="1"/>
  <c r="B26" i="1"/>
  <c r="B24" i="1" s="1"/>
  <c r="B19" i="1"/>
  <c r="B17" i="1"/>
  <c r="B15" i="1"/>
  <c r="B14" i="1"/>
  <c r="B11" i="1"/>
  <c r="B10" i="1"/>
  <c r="B9" i="1"/>
  <c r="B7" i="1"/>
  <c r="J13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B5" i="1" l="1"/>
  <c r="J19" i="1"/>
  <c r="J18" i="1"/>
  <c r="J17" i="1"/>
  <c r="J16" i="1"/>
  <c r="J15" i="1"/>
  <c r="J14" i="1"/>
  <c r="J12" i="1"/>
  <c r="J11" i="1"/>
  <c r="J10" i="1"/>
  <c r="J9" i="1"/>
  <c r="J8" i="1"/>
  <c r="J7" i="1"/>
  <c r="J6" i="1"/>
  <c r="I19" i="1" l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H19" i="1"/>
  <c r="H18" i="1"/>
  <c r="H17" i="1"/>
  <c r="H16" i="1"/>
  <c r="H15" i="1"/>
  <c r="H14" i="1"/>
  <c r="H13" i="1"/>
  <c r="H11" i="1"/>
  <c r="H10" i="1"/>
  <c r="H9" i="1"/>
  <c r="H8" i="1"/>
  <c r="H6" i="1"/>
  <c r="G19" i="1" l="1"/>
  <c r="G18" i="1"/>
  <c r="G16" i="1"/>
  <c r="G15" i="1"/>
  <c r="G14" i="1"/>
  <c r="G9" i="1"/>
  <c r="G7" i="1"/>
  <c r="F6" i="1"/>
  <c r="F19" i="1" l="1"/>
  <c r="F18" i="1"/>
  <c r="F17" i="1"/>
  <c r="F16" i="1"/>
  <c r="F15" i="1"/>
  <c r="F14" i="1"/>
  <c r="F12" i="1"/>
  <c r="F11" i="1"/>
  <c r="F7" i="1"/>
  <c r="E19" i="1"/>
  <c r="E18" i="1"/>
  <c r="E17" i="1"/>
  <c r="E15" i="1"/>
  <c r="E14" i="1"/>
  <c r="E11" i="1"/>
  <c r="E7" i="1"/>
  <c r="E6" i="1"/>
  <c r="G5" i="1"/>
  <c r="H5" i="1"/>
  <c r="I5" i="1"/>
  <c r="J5" i="1"/>
  <c r="K5" i="1"/>
  <c r="L5" i="1"/>
  <c r="D19" i="1"/>
  <c r="D18" i="1"/>
  <c r="D17" i="1"/>
  <c r="D16" i="1"/>
  <c r="D15" i="1"/>
  <c r="D14" i="1"/>
  <c r="D11" i="1"/>
  <c r="D10" i="1"/>
  <c r="D9" i="1"/>
  <c r="D5" i="1" s="1"/>
  <c r="D7" i="1"/>
  <c r="C19" i="1"/>
  <c r="C17" i="1"/>
  <c r="C15" i="1"/>
  <c r="C14" i="1"/>
  <c r="C13" i="1"/>
  <c r="C11" i="1"/>
  <c r="C10" i="1"/>
  <c r="C9" i="1"/>
  <c r="C7" i="1"/>
  <c r="C6" i="1"/>
  <c r="C5" i="1" l="1"/>
  <c r="E5" i="1"/>
  <c r="F5" i="1"/>
</calcChain>
</file>

<file path=xl/sharedStrings.xml><?xml version="1.0" encoding="utf-8"?>
<sst xmlns="http://schemas.openxmlformats.org/spreadsheetml/2006/main" count="50" uniqueCount="35">
  <si>
    <t>Бүгд</t>
  </si>
  <si>
    <t>Айраг</t>
  </si>
  <si>
    <t>Алтанширээ</t>
  </si>
  <si>
    <t>Даланжаргалан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</si>
  <si>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</si>
  <si>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</si>
  <si>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</si>
  <si>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</si>
  <si>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</si>
  <si>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</si>
  <si>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</si>
  <si>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</si>
  <si>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</si>
  <si>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</si>
  <si>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</si>
  <si>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АЖ ҮЙЛДВЭРИЙН БҮТЭЭГДЭХҮҮН БОРЛУУЛАЛТ, сумаар, 2005-2015 он</t>
  </si>
  <si>
    <t>АЖ ҮЙЛДВЭРИЙН БҮТЭЭГДЭХҮҮН ҮЙЛДВЭРЛЭЛТ, сумаар, 2005-2015 он</t>
  </si>
  <si>
    <t>АЖ ҮЙЛДВЭРИЙН БҮТЭЭГДЭХҮҮН ҮЙЛДВЭРЛЭЛ,  салбараар,  2011-2017 он</t>
  </si>
  <si>
    <t>Салбар</t>
  </si>
  <si>
    <t>Дүн</t>
  </si>
  <si>
    <t>Уул уурхай олборлох аж үйлдвэр</t>
  </si>
  <si>
    <t xml:space="preserve">               Нүүрс олборлолт</t>
  </si>
  <si>
    <t xml:space="preserve">               Бусад ашигт малтмал олборлолт</t>
  </si>
  <si>
    <t>Боловсруулах аж үйлдвэр</t>
  </si>
  <si>
    <t xml:space="preserve">        Хүнсний бүтээгдэхүүн үйлдвэрлэл</t>
  </si>
  <si>
    <t xml:space="preserve">        Хувцас үйлдвэрлэл</t>
  </si>
  <si>
    <t xml:space="preserve">        Гутал үйлдвэрлэл</t>
  </si>
  <si>
    <t xml:space="preserve">        Мод,  модон эдлэл үйлдвэрлэл</t>
  </si>
  <si>
    <t xml:space="preserve">        Машин тоног төхөөрөмжөөс бусад төмөр</t>
  </si>
  <si>
    <t xml:space="preserve">             эдлэл үйлдвэрлэл</t>
  </si>
  <si>
    <t xml:space="preserve">       Боловсруулах үйлдвэрийн бусад</t>
  </si>
  <si>
    <t xml:space="preserve">Цахилгаан, дулааны эрчим хүч </t>
  </si>
  <si>
    <t>үйлдвэрлэлт, усан хангамж</t>
  </si>
  <si>
    <t xml:space="preserve">              Цахилгаан, дулаан, уур үйлдвэрлэл</t>
  </si>
  <si>
    <t xml:space="preserve">              Ус ариутгал, усан хангамж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</si>
</sst>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0" tint="-4.9989318521683403E-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 Mon"/>
      <family val="2"/>
    </font>
    <font>
      <sz val="12"/>
      <name val="Arial Mon"/>
      <family val="2"/>
    </font>
    <font>
      <sz val="1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64" fontId="4" fillId="0" borderId="0" xfId="0" applyNumberFormat="1" applyFont="1" applyFill="1" applyBorder="1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2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2" fillId="3" borderId="0" xfId="0" applyNumberFormat="1" applyFont="1" applyFill="1" applyBorder="1" applyAlignment="1">
      <alignment horizontal="right" vertical="center"/>
    </xf>
    <xf numFmtId="164" fontId="2" fillId="3" borderId="0" xfId="1" applyNumberFormat="1" applyFont="1" applyFill="1" applyBorder="1" applyAlignment="1">
      <alignment horizontal="right" vertical="center"/>
    </xf>
    <xf numFmtId="164" fontId="2" fillId="4" borderId="0" xfId="0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164" fontId="2" fillId="3" borderId="0" xfId="0" applyNumberFormat="1" applyFont="1" applyFill="1" applyAlignment="1">
      <alignment horizontal="right" vertical="center"/>
    </xf>
    <xf numFmtId="0" fontId="2" fillId="0" borderId="4" xfId="0" applyFont="1" applyFill="1" applyBorder="1"/>
    <xf numFmtId="164" fontId="6" fillId="0" borderId="4" xfId="0" applyNumberFormat="1" applyFont="1" applyFill="1" applyBorder="1" applyAlignment="1"/>
    <xf numFmtId="164" fontId="6" fillId="0" borderId="5" xfId="0" applyNumberFormat="1" applyFont="1" applyFill="1" applyBorder="1" applyAlignment="1"/>
    <xf numFmtId="0" fontId="2" fillId="0" borderId="5" xfId="0" applyFont="1" applyFill="1" applyBorder="1"/>
    <xf numFmtId="0" fontId="2" fillId="3" borderId="4" xfId="0" applyFont="1" applyFill="1" applyBorder="1"/>
    <xf numFmtId="164" fontId="6" fillId="3" borderId="4" xfId="0" applyNumberFormat="1" applyFont="1" applyFill="1" applyBorder="1" applyAlignment="1"/>
    <xf numFmtId="0" fontId="6" fillId="3" borderId="4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right"/>
    </xf>
    <xf numFmtId="0" fontId="2" fillId="0" borderId="6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0" fontId="2" fillId="5" borderId="0" xfId="0" applyFont="1" applyFill="1" applyBorder="1" applyAlignment="1">
      <alignment vertical="center"/>
    </xf>
    <xf numFmtId="164" fontId="8" fillId="5" borderId="0" xfId="0" applyNumberFormat="1" applyFont="1" applyFill="1" applyBorder="1" applyAlignment="1">
      <alignment horizontal="right"/>
    </xf>
    <xf numFmtId="164" fontId="8" fillId="5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/>
    </xf>
    <xf numFmtId="164" fontId="2" fillId="5" borderId="0" xfId="0" applyNumberFormat="1" applyFont="1" applyFill="1" applyBorder="1" applyAlignment="1">
      <alignment horizontal="right"/>
    </xf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right" vertical="center"/>
    </xf>
    <xf numFmtId="164" fontId="2" fillId="5" borderId="0" xfId="0" applyNumberFormat="1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 vertical="center"/>
    </xf>
    <xf numFmtId="164" fontId="3" fillId="5" borderId="0" xfId="0" applyNumberFormat="1" applyFont="1" applyFill="1" applyAlignment="1">
      <alignment horizontal="right"/>
    </xf>
    <xf numFmtId="0" fontId="3" fillId="5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2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2" fillId="0" borderId="10" xfId="2" applyNumberFormat="1" applyFont="1" applyFill="1" applyBorder="1"/>
    <xf numFmtId="0" fontId="2" fillId="0" borderId="10" xfId="2" applyFont="1" applyFill="1" applyBorder="1"/>
    <xf numFmtId="0" fontId="2" fillId="0" borderId="11" xfId="2" applyFont="1" applyFill="1" applyBorder="1" applyAlignment="1">
      <alignment horizontal="right"/>
    </xf>
    <xf numFmtId="164" fontId="2" fillId="3" borderId="10" xfId="2" applyNumberFormat="1" applyFont="1" applyFill="1" applyBorder="1"/>
    <xf numFmtId="0" fontId="2" fillId="3" borderId="10" xfId="2" applyFont="1" applyFill="1" applyBorder="1"/>
    <xf numFmtId="164" fontId="2" fillId="0" borderId="4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164" fontId="2" fillId="3" borderId="4" xfId="0" applyNumberFormat="1" applyFont="1" applyFill="1" applyBorder="1"/>
    <xf numFmtId="0" fontId="3" fillId="0" borderId="12" xfId="0" applyFont="1" applyBorder="1" applyAlignment="1">
      <alignment horizontal="right"/>
    </xf>
    <xf numFmtId="0" fontId="3" fillId="0" borderId="12" xfId="0" applyFont="1" applyBorder="1" applyAlignment="1"/>
    <xf numFmtId="0" fontId="3" fillId="5" borderId="0" xfId="0" applyFont="1" applyFill="1"/>
    <xf numFmtId="0" fontId="3" fillId="5" borderId="12" xfId="0" applyFont="1" applyFill="1" applyBorder="1" applyAlignment="1">
      <alignment horizontal="right"/>
    </xf>
    <xf numFmtId="0" fontId="3" fillId="5" borderId="12" xfId="0" applyFont="1" applyFill="1" applyBorder="1" applyAlignment="1"/>
    <xf numFmtId="164" fontId="2" fillId="5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/>
  </cellXfs>
  <cellStyles count="3">
    <cellStyle name="Normal" xfId="0" builtinId="0"/>
    <cellStyle name="Normal 11" xfId="1"/>
    <cellStyle name="Normal 2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9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0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1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2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4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5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6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7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8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9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0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1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8"/>
  <sheetViews>
    <sheetView topLeftCell="A13" workbookViewId="0">
      <selection activeCell="P25" sqref="P25"/>
    </sheetView>
  </sheetViews>
  <sheetFormatPr defaultRowHeight="15" x14ac:dyDescent="0.25"/>
  <cols>
    <col min="1" max="1" width="18.85546875" customWidth="1"/>
    <col min="2" max="2" width="11.7109375" style="9" customWidth="1"/>
    <col min="3" max="3" width="13" style="9" customWidth="1"/>
    <col min="4" max="4" width="12" style="9" customWidth="1"/>
    <col min="5" max="5" width="12.140625" style="9" customWidth="1"/>
    <col min="6" max="7" width="12.42578125" style="9" customWidth="1"/>
    <col min="8" max="8" width="13.42578125" style="9" customWidth="1"/>
    <col min="9" max="9" width="12.28515625" style="9" customWidth="1"/>
    <col min="10" max="10" width="11.85546875" style="9" customWidth="1"/>
    <col min="11" max="11" width="12" style="9" customWidth="1"/>
    <col min="12" max="12" width="13.28515625" style="9" customWidth="1"/>
    <col min="13" max="13" width="13.42578125" customWidth="1"/>
    <col min="14" max="14" width="9.85546875" customWidth="1"/>
    <col min="15" max="15" width="10.140625" customWidth="1"/>
  </cols>
  <sheetData>
    <row r="2" spans="1:15" x14ac:dyDescent="0.25">
      <c r="A2" s="7" t="s">
        <v>16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5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5" s="33" customFormat="1" ht="29.25" customHeight="1" x14ac:dyDescent="0.25">
      <c r="A4" s="1"/>
      <c r="B4" s="1">
        <v>2005</v>
      </c>
      <c r="C4" s="31">
        <v>2006</v>
      </c>
      <c r="D4" s="1">
        <v>2007</v>
      </c>
      <c r="E4" s="31">
        <v>2008</v>
      </c>
      <c r="F4" s="1">
        <v>2009</v>
      </c>
      <c r="G4" s="31">
        <v>2010</v>
      </c>
      <c r="H4" s="1">
        <v>2011</v>
      </c>
      <c r="I4" s="31">
        <v>2012</v>
      </c>
      <c r="J4" s="1">
        <v>2013</v>
      </c>
      <c r="K4" s="32">
        <v>2014</v>
      </c>
      <c r="L4" s="32">
        <v>2015</v>
      </c>
      <c r="M4" s="32">
        <v>2016</v>
      </c>
      <c r="N4" s="32">
        <v>2017</v>
      </c>
      <c r="O4" s="32">
        <v>2018</v>
      </c>
    </row>
    <row r="5" spans="1:15" x14ac:dyDescent="0.25">
      <c r="A5" s="2" t="s">
        <v>0</v>
      </c>
      <c r="B5" s="10">
        <f>SUM(B6:B19)</f>
        <v>5848800</v>
      </c>
      <c r="C5" s="11">
        <f>SUM(C6:C19)</f>
        <v>5836131.5999999996</v>
      </c>
      <c r="D5" s="11">
        <f t="shared" ref="D5:O5" si="0">SUM(D6:D19)</f>
        <v>7762235.1000000006</v>
      </c>
      <c r="E5" s="11">
        <f>SUM(E6:E19)</f>
        <v>1942574.9395249998</v>
      </c>
      <c r="F5" s="11">
        <f t="shared" si="0"/>
        <v>1732426.8000000003</v>
      </c>
      <c r="G5" s="11">
        <f t="shared" si="0"/>
        <v>2974274</v>
      </c>
      <c r="H5" s="11">
        <f t="shared" si="0"/>
        <v>3355385.4</v>
      </c>
      <c r="I5" s="11">
        <f t="shared" si="0"/>
        <v>11666104</v>
      </c>
      <c r="J5" s="11">
        <f t="shared" si="0"/>
        <v>9852573.200000003</v>
      </c>
      <c r="K5" s="11">
        <f t="shared" si="0"/>
        <v>11067410.200000001</v>
      </c>
      <c r="L5" s="11">
        <f t="shared" si="0"/>
        <v>10509363.9</v>
      </c>
      <c r="M5" s="11">
        <f t="shared" si="0"/>
        <v>35998537.800000004</v>
      </c>
      <c r="N5" s="11">
        <f t="shared" si="0"/>
        <v>162252.07</v>
      </c>
      <c r="O5" s="11">
        <f t="shared" si="0"/>
        <v>230744.09999999998</v>
      </c>
    </row>
    <row r="6" spans="1:15" x14ac:dyDescent="0.25">
      <c r="A6" s="3" t="s">
        <v>1</v>
      </c>
      <c r="B6" s="12">
        <v>4266.6000000000004</v>
      </c>
      <c r="C6" s="12">
        <f>999.7+170</f>
        <v>1169.7</v>
      </c>
      <c r="D6" s="12">
        <v>4407.3999999999996</v>
      </c>
      <c r="E6" s="12">
        <f>80000+6985.1+5375.6</f>
        <v>92360.700000000012</v>
      </c>
      <c r="F6" s="12">
        <f>41250+4680+3900+1200+10110+1120+9242+360+11700+9242-840+4500+840</f>
        <v>97304</v>
      </c>
      <c r="G6" s="12">
        <v>61740</v>
      </c>
      <c r="H6" s="13">
        <f>29340+5775</f>
        <v>35115</v>
      </c>
      <c r="I6" s="12">
        <f>1700+85+600+900+160+70+56+1800+1080+192+900+1200</f>
        <v>8743</v>
      </c>
      <c r="J6" s="12">
        <f>3615.4+2671.5+115.8+1188.5</f>
        <v>7591.2</v>
      </c>
      <c r="K6" s="12">
        <v>20338.5</v>
      </c>
      <c r="L6" s="12">
        <f>8245+8078.3+1360</f>
        <v>17683.3</v>
      </c>
      <c r="M6" s="12">
        <v>31437.9</v>
      </c>
      <c r="N6" s="28">
        <v>23.799999999999997</v>
      </c>
      <c r="O6" s="67">
        <f>5.2+4.9+13</f>
        <v>23.1</v>
      </c>
    </row>
    <row r="7" spans="1:15" x14ac:dyDescent="0.25">
      <c r="A7" s="4" t="s">
        <v>2</v>
      </c>
      <c r="B7" s="14">
        <f>2373+750+428+475+200</f>
        <v>4226</v>
      </c>
      <c r="C7" s="14">
        <f>336+38.5+90.2+140</f>
        <v>604.70000000000005</v>
      </c>
      <c r="D7" s="14">
        <f>140+204+268+221+145</f>
        <v>978</v>
      </c>
      <c r="E7" s="10">
        <f>200+1227+530+204+45+348+60</f>
        <v>2614</v>
      </c>
      <c r="F7" s="10">
        <f>100+120+80+80+152+560+60+90+252+180.4+75+66+144+30+50</f>
        <v>2039.4</v>
      </c>
      <c r="G7" s="10">
        <f>523+549.3</f>
        <v>1072.3</v>
      </c>
      <c r="H7" s="15">
        <v>0</v>
      </c>
      <c r="I7" s="10">
        <f>333.3+229+1148+315+406</f>
        <v>2431.3000000000002</v>
      </c>
      <c r="J7" s="10">
        <f>7195+1200+1101.6+3819.8+828+1085.6+910+240+1312+1240+1200+480+207+2260+3200+1200+200</f>
        <v>27679</v>
      </c>
      <c r="K7" s="10">
        <v>36259.300000000003</v>
      </c>
      <c r="L7" s="10">
        <f>3315+9730+5048+1005+235+6991.3+625+1473.5+113</f>
        <v>28535.8</v>
      </c>
      <c r="M7" s="10">
        <v>15821.7</v>
      </c>
      <c r="N7" s="24">
        <v>10.3</v>
      </c>
      <c r="O7" s="65">
        <f>1.4+0.8+0.5+1.9+17+2.2+7.1+0.9+1.4</f>
        <v>33.199999999999996</v>
      </c>
    </row>
    <row r="8" spans="1:15" x14ac:dyDescent="0.25">
      <c r="A8" s="3" t="s">
        <v>3</v>
      </c>
      <c r="B8" s="12">
        <v>0</v>
      </c>
      <c r="C8" s="12">
        <v>522.29999999999995</v>
      </c>
      <c r="D8" s="12">
        <v>0</v>
      </c>
      <c r="E8" s="12">
        <v>0</v>
      </c>
      <c r="F8" s="12">
        <v>0</v>
      </c>
      <c r="G8" s="12">
        <v>1422.9</v>
      </c>
      <c r="H8" s="13">
        <f>290+164.2+1919</f>
        <v>2373.1999999999998</v>
      </c>
      <c r="I8" s="12">
        <f>1654+5000+3000+7000+50+200+560+2000+4000+125106+12000+1000+1750+700+400</f>
        <v>164420</v>
      </c>
      <c r="J8" s="12">
        <f>6000+3510+1632+705.3+450+47+1200</f>
        <v>13544.3</v>
      </c>
      <c r="K8" s="12">
        <v>16491</v>
      </c>
      <c r="L8" s="12">
        <f>1236920+375+348+637.5+1910+125+962.5+3155.8+485+536.5+3400+837+1870</f>
        <v>1251562.3</v>
      </c>
      <c r="M8" s="12">
        <v>8546445.9000000004</v>
      </c>
      <c r="N8" s="28">
        <v>28796.400000000001</v>
      </c>
      <c r="O8" s="67">
        <f>60678.1+9700.9+21806.8+5.9+8.9+2.6</f>
        <v>92203.199999999997</v>
      </c>
    </row>
    <row r="9" spans="1:15" x14ac:dyDescent="0.25">
      <c r="A9" s="4" t="s">
        <v>4</v>
      </c>
      <c r="B9" s="14">
        <f>5793.5+1879+2365</f>
        <v>10037.5</v>
      </c>
      <c r="C9" s="14">
        <f>700+1325+32+85</f>
        <v>2142</v>
      </c>
      <c r="D9" s="14">
        <f>1214+1535+80+555+12</f>
        <v>3396</v>
      </c>
      <c r="E9" s="16">
        <v>3943</v>
      </c>
      <c r="F9" s="10">
        <v>0</v>
      </c>
      <c r="G9" s="10">
        <f>7108.5+20</f>
        <v>7128.5</v>
      </c>
      <c r="H9" s="15">
        <f>888+850+174.5+232.7+108.5+843+1885.8</f>
        <v>4982.5</v>
      </c>
      <c r="I9" s="10">
        <f>1122.9+553.5+60+35+96+28+28+10+114.5+58+86.5+52+74+27.5+188</f>
        <v>2533.9</v>
      </c>
      <c r="J9" s="10">
        <f>250+70+495+87+142+345+285+320+102+1500+400+188.5+28+224+242</f>
        <v>4678.5</v>
      </c>
      <c r="K9" s="10">
        <v>354599</v>
      </c>
      <c r="L9" s="10">
        <f>5912.5+852+1215+183+1450+775+2415+135+60+2760+640+1045+910+946+1600+800+2730</f>
        <v>24428.5</v>
      </c>
      <c r="M9" s="10">
        <v>5861.5</v>
      </c>
      <c r="N9" s="24">
        <v>6.3999999999999986</v>
      </c>
      <c r="O9" s="65">
        <f>0.3+1.7</f>
        <v>2</v>
      </c>
    </row>
    <row r="10" spans="1:15" x14ac:dyDescent="0.25">
      <c r="A10" s="3" t="s">
        <v>5</v>
      </c>
      <c r="B10" s="12">
        <f>855+0+105+52.5</f>
        <v>1012.5</v>
      </c>
      <c r="C10" s="12">
        <f>292+535.9</f>
        <v>827.9</v>
      </c>
      <c r="D10" s="12">
        <f>382.9+40+536.1</f>
        <v>959</v>
      </c>
      <c r="E10" s="12">
        <v>6028.7</v>
      </c>
      <c r="F10" s="12">
        <v>2880</v>
      </c>
      <c r="G10" s="12">
        <v>5043.5</v>
      </c>
      <c r="H10" s="13">
        <f>780+1412.5+2814+1575+4800</f>
        <v>11381.5</v>
      </c>
      <c r="I10" s="12">
        <f>2371+782.8+120+80+140+80+674.5+389.2+120+80+36+183.2+25+80+40+80+40+1470+18+18+150+80+40+120+80+150+50+40+80+200+30</f>
        <v>7847.7</v>
      </c>
      <c r="J10" s="12">
        <f>2260+710+360+670+135+380+990+60+55+55+456+50+462</f>
        <v>6643</v>
      </c>
      <c r="K10" s="12">
        <v>3204</v>
      </c>
      <c r="L10" s="12">
        <f>16600+3102+820+1440</f>
        <v>21962</v>
      </c>
      <c r="M10" s="12">
        <v>11614</v>
      </c>
      <c r="N10" s="28">
        <v>16.7</v>
      </c>
      <c r="O10" s="68">
        <f>1.8+1.6+1.8+3.4+1.3+2.2</f>
        <v>12.100000000000001</v>
      </c>
    </row>
    <row r="11" spans="1:15" x14ac:dyDescent="0.25">
      <c r="A11" s="4" t="s">
        <v>6</v>
      </c>
      <c r="B11" s="14">
        <f>8519.6+694+867+1038+160+4350</f>
        <v>15628.6</v>
      </c>
      <c r="C11" s="14">
        <f>11688.2+100+104+65+185+750+360+90+50+6</f>
        <v>13398.2</v>
      </c>
      <c r="D11" s="14">
        <f>13154+354.8+934+264+1691</f>
        <v>16397.8</v>
      </c>
      <c r="E11" s="10">
        <f>72.5+17521.2+833+330+330+638+260</f>
        <v>19984.7</v>
      </c>
      <c r="F11" s="10">
        <f>108+750+4183.6+1085.5+68.7+150+120+28.8+28.8</f>
        <v>6523.4000000000005</v>
      </c>
      <c r="G11" s="10">
        <v>5448</v>
      </c>
      <c r="H11" s="15">
        <f>16720.6+375+2154+558+392+180+42.5+8420</f>
        <v>28842.1</v>
      </c>
      <c r="I11" s="10">
        <f>3483.2+1346.9+325.2+1346.9+36+195.3+18+48.6+1430+2050+2460+180+25.8+2365.8+1176.5+1700+1176.5+2975+152+27+1446+1275+142+80+66.5+217.5+35+1620+350+400+1533.1</f>
        <v>29683.8</v>
      </c>
      <c r="J11" s="10">
        <f>2775+180+900+360+670+45.5+16282+10200+42+1500+3400+1204.6+2140+382+900+1422</f>
        <v>42403.1</v>
      </c>
      <c r="K11" s="10">
        <v>43935.1</v>
      </c>
      <c r="L11" s="10">
        <f>25937+47+165.6+191.5+8905+671+474+94+5760</f>
        <v>42245.1</v>
      </c>
      <c r="M11" s="10">
        <v>47220.7</v>
      </c>
      <c r="N11" s="24">
        <v>19.97</v>
      </c>
      <c r="O11" s="64">
        <f>12.1+6.3+1.4+12302+0.8+1.7+0.7</f>
        <v>12325</v>
      </c>
    </row>
    <row r="12" spans="1:15" x14ac:dyDescent="0.25">
      <c r="A12" s="3" t="s">
        <v>7</v>
      </c>
      <c r="B12" s="12">
        <v>0</v>
      </c>
      <c r="C12" s="12">
        <v>0</v>
      </c>
      <c r="D12" s="12">
        <v>0</v>
      </c>
      <c r="E12" s="12">
        <v>13046.5</v>
      </c>
      <c r="F12" s="12">
        <f>570+621+647+735+580+670+630+742</f>
        <v>5195</v>
      </c>
      <c r="G12" s="12">
        <v>4026.5</v>
      </c>
      <c r="H12" s="13">
        <v>11603.1</v>
      </c>
      <c r="I12" s="12">
        <f>625+201+142+212+143.4+59+59+212+177.5+170.4</f>
        <v>2001.3000000000002</v>
      </c>
      <c r="J12" s="12">
        <f>2200+625</f>
        <v>2825</v>
      </c>
      <c r="K12" s="12">
        <v>9765</v>
      </c>
      <c r="L12" s="12">
        <f>5178+2413+1080+240+3094+780+420</f>
        <v>13205</v>
      </c>
      <c r="M12" s="12">
        <v>9892525.4000000004</v>
      </c>
      <c r="N12" s="28">
        <v>24223.8</v>
      </c>
      <c r="O12" s="68">
        <f>300+28040.5+1.7+1.2</f>
        <v>28343.4</v>
      </c>
    </row>
    <row r="13" spans="1:15" x14ac:dyDescent="0.25">
      <c r="A13" s="4" t="s">
        <v>8</v>
      </c>
      <c r="B13" s="17">
        <v>6756.3</v>
      </c>
      <c r="C13" s="17">
        <f>35+37.5+30+36+485+315</f>
        <v>938.5</v>
      </c>
      <c r="D13" s="17">
        <v>300</v>
      </c>
      <c r="E13" s="18">
        <v>3900</v>
      </c>
      <c r="F13" s="10">
        <v>0</v>
      </c>
      <c r="G13" s="10">
        <v>1600</v>
      </c>
      <c r="H13" s="15">
        <f>100+300+962+130+105</f>
        <v>1597</v>
      </c>
      <c r="I13" s="10">
        <f>850+196.5+60+300+596+280+600</f>
        <v>2882.5</v>
      </c>
      <c r="J13" s="10">
        <f>445+268</f>
        <v>713</v>
      </c>
      <c r="K13" s="10">
        <v>1180</v>
      </c>
      <c r="L13" s="10">
        <f>1047+230+180+860+382+355+420</f>
        <v>3474</v>
      </c>
      <c r="M13" s="10">
        <v>782</v>
      </c>
      <c r="N13" s="24">
        <v>0.4</v>
      </c>
      <c r="O13" s="64">
        <v>5</v>
      </c>
    </row>
    <row r="14" spans="1:15" x14ac:dyDescent="0.25">
      <c r="A14" s="3" t="s">
        <v>9</v>
      </c>
      <c r="B14" s="12">
        <f>80+355+1204.5</f>
        <v>1639.5</v>
      </c>
      <c r="C14" s="12">
        <f>325+1398.5+128</f>
        <v>1851.5</v>
      </c>
      <c r="D14" s="12">
        <f>657+1023+125+1040</f>
        <v>2845</v>
      </c>
      <c r="E14" s="12">
        <f>668.5+475</f>
        <v>1143.5</v>
      </c>
      <c r="F14" s="12">
        <f>700+850+225+100+300+225+300+50+1550+250+100+10+100+22.5+420+20+25+1650+70</f>
        <v>6967.5</v>
      </c>
      <c r="G14" s="12">
        <f>3902.5+145+20</f>
        <v>4067.5</v>
      </c>
      <c r="H14" s="13">
        <f>210+1300+100+90+3705+402.5+4305+656.8+1200</f>
        <v>11969.3</v>
      </c>
      <c r="I14" s="12">
        <f>2349.6+125+170+2163+40+100+150+307.2+90+125+90+100+520+325+300+260+600+130+240+75+27+50+880+50+312.5+3000+1340+160</f>
        <v>14079.3</v>
      </c>
      <c r="J14" s="12">
        <f>621+645+820+1000+1653+2123+401.5+1320+308.9+2400+3000+534.8+400+485+400+80.3+105+56+260+32+69.2+400+80.5+64+15+160+1312.2</f>
        <v>18746.400000000001</v>
      </c>
      <c r="K14" s="12">
        <v>17515.3</v>
      </c>
      <c r="L14" s="12">
        <f>595+1160+610.6+1175+80+331.2+560+305+1105+1241.2+1380+1720+176</f>
        <v>10439</v>
      </c>
      <c r="M14" s="12">
        <v>6667</v>
      </c>
      <c r="N14" s="28">
        <v>4.4000000000000004</v>
      </c>
      <c r="O14" s="68">
        <f>21.9+9.8+49.4+0.5</f>
        <v>81.599999999999994</v>
      </c>
    </row>
    <row r="15" spans="1:15" x14ac:dyDescent="0.25">
      <c r="A15" s="4" t="s">
        <v>10</v>
      </c>
      <c r="B15" s="14">
        <f>15961.3+380+120</f>
        <v>16461.3</v>
      </c>
      <c r="C15" s="14">
        <f>263.4+24018.9</f>
        <v>24282.300000000003</v>
      </c>
      <c r="D15" s="14">
        <f>24764.9+345+540+90</f>
        <v>25739.9</v>
      </c>
      <c r="E15" s="10">
        <f>1570+1109+47149+732</f>
        <v>50560</v>
      </c>
      <c r="F15" s="10">
        <f>10874.2+130+266.8+5005+20+68+4502.8+30+180+87+4355.1+90+300+1582.5+138+3756.1+2857.8+200+40+3665.8+4049.2</f>
        <v>42198.3</v>
      </c>
      <c r="G15" s="10">
        <f>44880.6+4448.7</f>
        <v>49329.299999999996</v>
      </c>
      <c r="H15" s="15">
        <f>41526.5+804+48+1116+700+2100</f>
        <v>46294.5</v>
      </c>
      <c r="I15" s="10">
        <f>21195.6+10894.5+1610.8+9932+3675.4+4500+2700+450</f>
        <v>54958.3</v>
      </c>
      <c r="J15" s="10">
        <f>105+27456.8+7625+14851.5+7840+1877.7+1400+8400+1260+6300+1833.6+3590.8</f>
        <v>82540.400000000009</v>
      </c>
      <c r="K15" s="10">
        <v>52095.9</v>
      </c>
      <c r="L15" s="10">
        <f>32831.5+3478+3641.4+15500+20200</f>
        <v>75650.899999999994</v>
      </c>
      <c r="M15" s="10">
        <v>31022.2</v>
      </c>
      <c r="N15" s="25">
        <v>9.8000000000000007</v>
      </c>
      <c r="O15" s="65">
        <f>0.7+2.9+1.2</f>
        <v>4.8</v>
      </c>
    </row>
    <row r="16" spans="1:15" x14ac:dyDescent="0.25">
      <c r="A16" s="3" t="s">
        <v>11</v>
      </c>
      <c r="B16" s="12">
        <v>12233.6</v>
      </c>
      <c r="C16" s="12">
        <v>8593.2000000000007</v>
      </c>
      <c r="D16" s="12">
        <f>12536.8+190.9</f>
        <v>12727.699999999999</v>
      </c>
      <c r="E16" s="12">
        <v>210.1</v>
      </c>
      <c r="F16" s="12">
        <f>97.7+35+27.5+280+450+25+25+560+360+25+25+30</f>
        <v>1940.2</v>
      </c>
      <c r="G16" s="12">
        <f>3750+47.5</f>
        <v>3797.5</v>
      </c>
      <c r="H16" s="13">
        <f>195+360+2228+90+194.4+153.5+1022.5+751+458.7+2205+1552.5</f>
        <v>9210.5999999999985</v>
      </c>
      <c r="I16" s="12">
        <f>495+230+298.3+25+1870+2075+87.5+72.5+3540+975+192+149.9+918+3250+550+325.3+195.7+4032+550+862.1+211.7+220+3880+5096000+108.5+160.1+218.3+2511600+184.7+119+120.6+1242+275600</f>
        <v>7910358.1999999993</v>
      </c>
      <c r="J16" s="12">
        <f>6071+1380+1559.4+605.2+31.5+4800+4200+300+4873482+195+157.4+710+180+45708.5+363.9+125+710+282.1+229.4+500</f>
        <v>4941590.4000000004</v>
      </c>
      <c r="K16" s="12">
        <v>2498589.9</v>
      </c>
      <c r="L16" s="12">
        <f>1350+2874.1+1598.8+9864+2092+4261+522+8622+2000</f>
        <v>33183.9</v>
      </c>
      <c r="M16" s="12">
        <v>6013962.9000000004</v>
      </c>
      <c r="N16" s="29">
        <v>68443.399999999994</v>
      </c>
      <c r="O16" s="68">
        <f>0.9+85324.3+7.1+14.6</f>
        <v>85346.900000000009</v>
      </c>
    </row>
    <row r="17" spans="1:15" x14ac:dyDescent="0.25">
      <c r="A17" s="4" t="s">
        <v>12</v>
      </c>
      <c r="B17" s="14">
        <f>465+2136+45</f>
        <v>2646</v>
      </c>
      <c r="C17" s="14">
        <f>200+450+150+490</f>
        <v>1290</v>
      </c>
      <c r="D17" s="14">
        <f>450+825</f>
        <v>1275</v>
      </c>
      <c r="E17" s="10">
        <f>150+887+175+100+250+175+125+125+175+350+300+150+250+175+375</f>
        <v>3762</v>
      </c>
      <c r="F17" s="10">
        <f>540+145+550+18+36+102+90+90+60+84+18+36+15+601+51+30+36+18+64+66+18+69</f>
        <v>2737</v>
      </c>
      <c r="G17" s="10">
        <v>5606.4</v>
      </c>
      <c r="H17" s="15">
        <f>317.3+456+600</f>
        <v>1373.3</v>
      </c>
      <c r="I17" s="10">
        <f>722.5+195+360</f>
        <v>1277.5</v>
      </c>
      <c r="J17" s="10">
        <f>2067+300+505+475+320+130+235+300+1507.5+560+3465</f>
        <v>9864.5</v>
      </c>
      <c r="K17" s="10">
        <v>22845</v>
      </c>
      <c r="L17" s="10">
        <f>153+3016+599.9+75+11059+1260</f>
        <v>16162.9</v>
      </c>
      <c r="M17" s="10">
        <v>10837.8</v>
      </c>
      <c r="N17" s="25">
        <v>9.9</v>
      </c>
      <c r="O17" s="65">
        <f>0.4+4.8+0.2</f>
        <v>5.4</v>
      </c>
    </row>
    <row r="18" spans="1:15" x14ac:dyDescent="0.25">
      <c r="A18" s="3" t="s">
        <v>13</v>
      </c>
      <c r="B18" s="12">
        <v>5645428.5</v>
      </c>
      <c r="C18" s="12">
        <v>5680485.5999999996</v>
      </c>
      <c r="D18" s="12">
        <f>4600+4841+1348.2+18364.5+64901.8+396+5599239.4+8060+10561.8+31434.7+21230+1749873.4-14700</f>
        <v>7500150.8000000007</v>
      </c>
      <c r="E18" s="12">
        <f>16612.4+1331172.4+6087+17840+1634+10524+8550+35637.5+5437.8+1850+3193.7+484+3280.839525+776+15710+66940+19707.8+21834.2+3243.5+28717+10335.8</f>
        <v>1609567.9395249998</v>
      </c>
      <c r="F18" s="12">
        <f>554196.8+91419.4+29500+25793.4+39540.3+212145.5+222340.7+246406</f>
        <v>1421342.1</v>
      </c>
      <c r="G18" s="12">
        <f>1861861.4+521443.3+346831.7-707+1600-9305.5</f>
        <v>2721723.9</v>
      </c>
      <c r="H18" s="13">
        <f>2683561.3+5251.5+19654.8+3133.2+2310+180750.5+12981+6514.7+31921+12105.8+20180+7235.6+1800+16927.7+3154+33538.5+4714+4441.9+1766.4+7781.8+6211+3548.6+3161+8964+6309.2+4900</f>
        <v>3092817.5</v>
      </c>
      <c r="I18" s="12">
        <f>936700.8+328102.4+300+965+1500+3119.7+885+1414.8+846.4+15+2914.5-11003.4+193100+1450+1209.8+1370+52703+2625+1532.4+216+13050.1+800+4435+62+285+99495.7+2910+3822+3065+53676+1012.5+3777+240+209+4067.2+900+667.1-10.1+78795.6+1420+101727.9+324467.4+480709.1+1237.5+581098.75</f>
        <v>3281886.1500000004</v>
      </c>
      <c r="J18" s="12">
        <f>2222357.2+832.6+523618.3+559869+786.6+781.1+990+600+1790+450+5350.6+4206.2+2359.5+160+4834.2+899-5817+872.1+675+1060946.2</f>
        <v>4386560.6000000006</v>
      </c>
      <c r="K18" s="12">
        <v>6471176.2999999998</v>
      </c>
      <c r="L18" s="12">
        <f>5400+21917.8+46903+5456.3+82197.7+10492.1+5687414.3+1800+20715+62452.4+26277.4+4599.8+78363.9+155086+15668+1520+22338+2049.3+9585+5900+159926.3+120000+221.8+3819.6+600+11949+5499.6+3270.5+514.4+81+2904+1690+752+6951.6+2231+450+202.5+1468.8+1686.2</f>
        <v>6590354.2999999998</v>
      </c>
      <c r="M18" s="12">
        <v>8986127.1999999993</v>
      </c>
      <c r="N18" s="30">
        <v>38109.800000000003</v>
      </c>
      <c r="O18" s="68">
        <f>0.3+9410+1.7+47.4+14.1+6.2+115.6+10.7+32.4+0.8+0.9+6.3+0.4-262.7</f>
        <v>9384.0999999999985</v>
      </c>
    </row>
    <row r="19" spans="1:15" x14ac:dyDescent="0.25">
      <c r="A19" s="5" t="s">
        <v>14</v>
      </c>
      <c r="B19" s="19">
        <f>59594+2150+16544.5+24223.8+12638.5+10015.8+3297</f>
        <v>128463.6</v>
      </c>
      <c r="C19" s="20">
        <f>23688.6+26989.1+14404+480+34464</f>
        <v>100025.7</v>
      </c>
      <c r="D19" s="20">
        <f>5295.4+128179.9+59307.1+276.1</f>
        <v>193058.5</v>
      </c>
      <c r="E19" s="20">
        <f>57745.4+1295+10858.1+52560.3+12995</f>
        <v>135453.79999999999</v>
      </c>
      <c r="F19" s="20">
        <f>53456.8+933.8+500.6+988+558.5+3263.3+670.2+24027.5+609.7+464.4+988+577.8+911+338+477.1+1460.3+3426.5+400.8+1209.2+577.5+17041+577.5+13822.6+539.8+15480</f>
        <v>143299.90000000002</v>
      </c>
      <c r="G19" s="20">
        <f>88978+2113+11176.7</f>
        <v>102267.7</v>
      </c>
      <c r="H19" s="21">
        <f>57855.8+1020+2677+3859.7+18884.9+6180.5+7347.9</f>
        <v>97825.799999999988</v>
      </c>
      <c r="I19" s="20">
        <f>17540.5+14384+479.4+5130+57.5+5130+12758.1+4080+2990+4354.6+755.8+3336+4080+728.85+2516+2610+2610+6057+3835+726.5+3088+6749+4397.5+498.7+1180+4195.5+498.7+1180+3878+25830+4397.4+813.8+1395+8877+21863.2</f>
        <v>183001.05000000002</v>
      </c>
      <c r="J19" s="20">
        <f>5412.6+25750+34262.5+320+1080+78032.2+59850.6+8100+5271.3+374.5+4780+3356.5+8925+8925+374.5+4780+3357+13773.9+374.5+4410+3357+21863.2+10463.5</f>
        <v>307193.8</v>
      </c>
      <c r="K19" s="20">
        <v>1519415.8999999997</v>
      </c>
      <c r="L19" s="20">
        <f>21727.5+87150+7878.2+1821366.1+8211.1+31205.8+13367.5+26639.4+36691.1+57657.6+14501.1+61052.6+66129.4+63035.4+13630+2800+7322.5+2940+2145+572+2664+194+960+600+17623.5+4550+4875+2988.1</f>
        <v>2380476.9000000004</v>
      </c>
      <c r="M19" s="20">
        <v>2398211.6</v>
      </c>
      <c r="N19" s="26">
        <v>2576.9999999999995</v>
      </c>
      <c r="O19" s="66">
        <f>16.4+28.9+0.6+1.9+2.5+3.7+2856.5+7.2+27.6+24.8+4.2</f>
        <v>2974.2999999999997</v>
      </c>
    </row>
    <row r="20" spans="1:15" x14ac:dyDescent="0.25">
      <c r="M20" s="6"/>
    </row>
    <row r="21" spans="1:15" x14ac:dyDescent="0.25">
      <c r="A21" s="7" t="s">
        <v>15</v>
      </c>
      <c r="B21" s="8"/>
      <c r="C21" s="8"/>
      <c r="D21" s="8"/>
      <c r="E21" s="8"/>
      <c r="F21" s="8"/>
      <c r="M21" s="6"/>
    </row>
    <row r="22" spans="1:15" x14ac:dyDescent="0.25">
      <c r="M22" s="6"/>
    </row>
    <row r="23" spans="1:15" s="33" customFormat="1" ht="29.25" customHeight="1" x14ac:dyDescent="0.25">
      <c r="A23" s="1"/>
      <c r="B23" s="31">
        <v>2005</v>
      </c>
      <c r="C23" s="31">
        <v>2006</v>
      </c>
      <c r="D23" s="1">
        <v>2007</v>
      </c>
      <c r="E23" s="31">
        <v>2008</v>
      </c>
      <c r="F23" s="1">
        <v>2009</v>
      </c>
      <c r="G23" s="31">
        <v>2010</v>
      </c>
      <c r="H23" s="1">
        <v>2011</v>
      </c>
      <c r="I23" s="31">
        <v>2012</v>
      </c>
      <c r="J23" s="1">
        <v>2013</v>
      </c>
      <c r="K23" s="32">
        <v>2014</v>
      </c>
      <c r="L23" s="32">
        <v>2015</v>
      </c>
      <c r="M23" s="32">
        <v>2016</v>
      </c>
      <c r="N23" s="32">
        <v>2017</v>
      </c>
      <c r="O23" s="32">
        <v>2018</v>
      </c>
    </row>
    <row r="24" spans="1:15" x14ac:dyDescent="0.25">
      <c r="A24" s="2" t="s">
        <v>0</v>
      </c>
      <c r="B24" s="16">
        <f>SUM(B25:B38)</f>
        <v>4996200</v>
      </c>
      <c r="C24" s="16">
        <f t="shared" ref="C24:O24" si="1">SUM(C25:C38)</f>
        <v>9012860.0300000012</v>
      </c>
      <c r="D24" s="16">
        <f t="shared" si="1"/>
        <v>6602900.2999999998</v>
      </c>
      <c r="E24" s="16">
        <f t="shared" si="1"/>
        <v>3428626.1</v>
      </c>
      <c r="F24" s="16">
        <f t="shared" si="1"/>
        <v>2357903.6</v>
      </c>
      <c r="G24" s="16">
        <f t="shared" si="1"/>
        <v>3261946.2</v>
      </c>
      <c r="H24" s="16">
        <f t="shared" si="1"/>
        <v>4344197.7999999989</v>
      </c>
      <c r="I24" s="16">
        <f t="shared" si="1"/>
        <v>18298151.800000001</v>
      </c>
      <c r="J24" s="16">
        <f t="shared" si="1"/>
        <v>13162208.100000001</v>
      </c>
      <c r="K24" s="16">
        <f t="shared" si="1"/>
        <v>12736483.700000003</v>
      </c>
      <c r="L24" s="16">
        <f t="shared" si="1"/>
        <v>12141836.899999999</v>
      </c>
      <c r="M24" s="16">
        <f t="shared" si="1"/>
        <v>55132061.200000003</v>
      </c>
      <c r="N24" s="16">
        <f t="shared" si="1"/>
        <v>273507.20000000001</v>
      </c>
      <c r="O24" s="16">
        <f t="shared" si="1"/>
        <v>339177.4</v>
      </c>
    </row>
    <row r="25" spans="1:15" x14ac:dyDescent="0.25">
      <c r="A25" s="3" t="s">
        <v>1</v>
      </c>
      <c r="B25" s="12">
        <v>8503</v>
      </c>
      <c r="C25" s="12">
        <v>2365</v>
      </c>
      <c r="D25" s="12">
        <v>7253</v>
      </c>
      <c r="E25" s="12">
        <v>109442.3</v>
      </c>
      <c r="F25" s="12">
        <f>78753+12272</f>
        <v>91025</v>
      </c>
      <c r="G25" s="12">
        <f>8120+46680</f>
        <v>54800</v>
      </c>
      <c r="H25" s="12">
        <v>86520</v>
      </c>
      <c r="I25" s="12">
        <v>14392</v>
      </c>
      <c r="J25" s="12">
        <f>4803.9+2671.5+165.5</f>
        <v>7640.9</v>
      </c>
      <c r="K25" s="12">
        <f>249.2+17116+10270+3000+12000</f>
        <v>42635.199999999997</v>
      </c>
      <c r="L25" s="12">
        <f>4000+12755+13081.3</f>
        <v>29836.3</v>
      </c>
      <c r="M25" s="12">
        <v>47419.3</v>
      </c>
      <c r="N25" s="28">
        <v>42.6</v>
      </c>
      <c r="O25" s="72">
        <f>6.4+5.9+20</f>
        <v>32.299999999999997</v>
      </c>
    </row>
    <row r="26" spans="1:15" x14ac:dyDescent="0.25">
      <c r="A26" s="4" t="s">
        <v>2</v>
      </c>
      <c r="B26" s="14">
        <f>2875+240+840+428+210</f>
        <v>4593</v>
      </c>
      <c r="C26" s="14">
        <f>246.4+200+480</f>
        <v>926.4</v>
      </c>
      <c r="D26" s="14">
        <f>210+300+305+260+205</f>
        <v>1280</v>
      </c>
      <c r="E26" s="14">
        <v>3286</v>
      </c>
      <c r="F26" s="14">
        <f>696+285+331+104+108+200+636</f>
        <v>2360</v>
      </c>
      <c r="G26" s="10">
        <f>39+50+555</f>
        <v>644</v>
      </c>
      <c r="H26" s="22">
        <v>0</v>
      </c>
      <c r="I26" s="22">
        <v>3402</v>
      </c>
      <c r="J26" s="22">
        <f>1101.6+3819.8+1738+1532.6+3040+600+13290+1600+1840+400+5000</f>
        <v>33962</v>
      </c>
      <c r="K26" s="22">
        <f>860+770+3539.2+1550+800+8720+1285+6020+1960+9190+7420+360+2400+468</f>
        <v>45342.2</v>
      </c>
      <c r="L26" s="22">
        <f>18758+4680+3355+201+10053.4</f>
        <v>37047.4</v>
      </c>
      <c r="M26" s="22">
        <v>18971.3</v>
      </c>
      <c r="N26" s="24">
        <v>11.700000000000001</v>
      </c>
      <c r="O26" s="70">
        <f>2.4+1.1+0.7+2.8+20.7+2.7+9.6+1.3+1.8</f>
        <v>43.099999999999994</v>
      </c>
    </row>
    <row r="27" spans="1:15" x14ac:dyDescent="0.25">
      <c r="A27" s="3" t="s">
        <v>3</v>
      </c>
      <c r="B27" s="12">
        <v>0</v>
      </c>
      <c r="C27" s="12">
        <v>786.1</v>
      </c>
      <c r="D27" s="12">
        <v>0</v>
      </c>
      <c r="E27" s="12">
        <v>0</v>
      </c>
      <c r="F27" s="12">
        <v>0</v>
      </c>
      <c r="G27" s="12">
        <v>1407</v>
      </c>
      <c r="H27" s="23">
        <v>5772</v>
      </c>
      <c r="I27" s="23">
        <v>40201.199999999997</v>
      </c>
      <c r="J27" s="23">
        <f>11500+7000+1099.2+7200</f>
        <v>26799.200000000001</v>
      </c>
      <c r="K27" s="23">
        <f>810+2700+476+980+1200+8562+5575+3450+7400</f>
        <v>31153</v>
      </c>
      <c r="L27" s="23">
        <f>1926.5+1546134.7+3000+1692+4950+15300+6507</f>
        <v>1579510.2</v>
      </c>
      <c r="M27" s="34">
        <v>4990043.0999999996</v>
      </c>
      <c r="N27" s="28">
        <v>22555.8</v>
      </c>
      <c r="O27" s="28">
        <f>56065.6+19023.1+24544.4+9.8+12.3+4.9</f>
        <v>99660.1</v>
      </c>
    </row>
    <row r="28" spans="1:15" x14ac:dyDescent="0.25">
      <c r="A28" s="4" t="s">
        <v>4</v>
      </c>
      <c r="B28" s="14">
        <f>4801.6+2135+4300</f>
        <v>11236.6</v>
      </c>
      <c r="C28" s="14">
        <f>187.5+1596+1060</f>
        <v>2843.5</v>
      </c>
      <c r="D28" s="14">
        <f>1080+870+150+450+960+600+20</f>
        <v>4130</v>
      </c>
      <c r="E28" s="14">
        <v>5975</v>
      </c>
      <c r="F28" s="14">
        <f>40+2280+7330.8+3412+90</f>
        <v>13152.8</v>
      </c>
      <c r="G28" s="10">
        <v>7358.8</v>
      </c>
      <c r="H28" s="22">
        <v>7404.6</v>
      </c>
      <c r="I28" s="22">
        <v>5942.2000000000007</v>
      </c>
      <c r="J28" s="22">
        <f>1570+805+650+9240+920+2880+550+308+661+275+1323</f>
        <v>19182</v>
      </c>
      <c r="K28" s="22">
        <f>2800+1190+620+1570+2655+600+5383+506+451+1475+463385.6</f>
        <v>480635.6</v>
      </c>
      <c r="L28" s="22">
        <f>14822+350+1200000+3550+3040+5295+3250+6043+5430+4064</f>
        <v>1245844</v>
      </c>
      <c r="M28" s="22">
        <v>9392</v>
      </c>
      <c r="N28" s="24">
        <v>11.299999999999999</v>
      </c>
      <c r="O28" s="70">
        <f>0.3+2.4+0.4</f>
        <v>3.0999999999999996</v>
      </c>
    </row>
    <row r="29" spans="1:15" x14ac:dyDescent="0.25">
      <c r="A29" s="3" t="s">
        <v>5</v>
      </c>
      <c r="B29" s="12">
        <f>1570+125</f>
        <v>1695</v>
      </c>
      <c r="C29" s="12">
        <f>937+542</f>
        <v>1479</v>
      </c>
      <c r="D29" s="12">
        <f>800+80+746</f>
        <v>1626</v>
      </c>
      <c r="E29" s="12">
        <v>7945</v>
      </c>
      <c r="F29" s="12">
        <v>3132</v>
      </c>
      <c r="G29" s="12">
        <v>5294.6</v>
      </c>
      <c r="H29" s="23">
        <v>19050</v>
      </c>
      <c r="I29" s="23">
        <v>12993.300000000001</v>
      </c>
      <c r="J29" s="23">
        <f>525+918+725+3999.5+1240+710+1650+230</f>
        <v>9997.5</v>
      </c>
      <c r="K29" s="23">
        <f>1156+2684+180</f>
        <v>4020</v>
      </c>
      <c r="L29" s="23">
        <f>2965+22140.5</f>
        <v>25105.5</v>
      </c>
      <c r="M29" s="23">
        <v>15206</v>
      </c>
      <c r="N29" s="28">
        <v>23.6</v>
      </c>
      <c r="O29" s="72">
        <f>3.1+3.1+2.7+4+1.7+3.4</f>
        <v>18</v>
      </c>
    </row>
    <row r="30" spans="1:15" x14ac:dyDescent="0.25">
      <c r="A30" s="4" t="s">
        <v>6</v>
      </c>
      <c r="B30" s="14">
        <f>1145+6419+390+320+336+867+240+143+800+6920</f>
        <v>17580</v>
      </c>
      <c r="C30" s="14">
        <f>1520+2277+580+440+9141</f>
        <v>13958</v>
      </c>
      <c r="D30" s="14">
        <f>11400+2310+2100+560.8+620</f>
        <v>16990.8</v>
      </c>
      <c r="E30" s="14">
        <v>17211.8</v>
      </c>
      <c r="F30" s="14">
        <f>220+1470+430+6410.7</f>
        <v>8530.7000000000007</v>
      </c>
      <c r="G30" s="10">
        <v>7356.4</v>
      </c>
      <c r="H30" s="22">
        <v>39602.400000000001</v>
      </c>
      <c r="I30" s="22">
        <v>39360.800000000003</v>
      </c>
      <c r="J30" s="22">
        <f>360+670+45.5+16000+26460+60</f>
        <v>43595.5</v>
      </c>
      <c r="K30" s="22">
        <f>4328+16530+23520.5+502+150+64+6000</f>
        <v>51094.5</v>
      </c>
      <c r="L30" s="22">
        <f>640+14914+184+7200+25397+942.3</f>
        <v>49277.3</v>
      </c>
      <c r="M30" s="22">
        <v>43870.2</v>
      </c>
      <c r="N30" s="24">
        <v>33.800000000000004</v>
      </c>
      <c r="O30" s="69">
        <f>18.2+7.9+1.9+6406.7+1+2.1+0.8</f>
        <v>6438.6</v>
      </c>
    </row>
    <row r="31" spans="1:15" x14ac:dyDescent="0.25">
      <c r="A31" s="3" t="s">
        <v>7</v>
      </c>
      <c r="B31" s="12">
        <v>0</v>
      </c>
      <c r="C31" s="12">
        <v>0</v>
      </c>
      <c r="D31" s="12">
        <v>0</v>
      </c>
      <c r="E31" s="12">
        <v>13368</v>
      </c>
      <c r="F31" s="12">
        <f>620+6053.5</f>
        <v>6673.5</v>
      </c>
      <c r="G31" s="12">
        <v>5984.6</v>
      </c>
      <c r="H31" s="23">
        <v>14454</v>
      </c>
      <c r="I31" s="23">
        <v>2289</v>
      </c>
      <c r="J31" s="23">
        <f>625+2750</f>
        <v>3375</v>
      </c>
      <c r="K31" s="23">
        <f>7560+1920+2160</f>
        <v>11640</v>
      </c>
      <c r="L31" s="23">
        <f>990+5940+850+3878</f>
        <v>11658</v>
      </c>
      <c r="M31" s="23">
        <v>11096538.800000001</v>
      </c>
      <c r="N31" s="28">
        <v>29571.3</v>
      </c>
      <c r="O31" s="28">
        <f>40+37294.1+2.3+1.4</f>
        <v>37337.800000000003</v>
      </c>
    </row>
    <row r="32" spans="1:15" x14ac:dyDescent="0.25">
      <c r="A32" s="4" t="s">
        <v>8</v>
      </c>
      <c r="B32" s="14">
        <v>5469.7</v>
      </c>
      <c r="C32" s="14">
        <f>151.5+1105</f>
        <v>1256.5</v>
      </c>
      <c r="D32" s="14">
        <v>540</v>
      </c>
      <c r="E32" s="14">
        <v>4550</v>
      </c>
      <c r="F32" s="14"/>
      <c r="G32" s="10">
        <v>2000</v>
      </c>
      <c r="H32" s="22">
        <v>3011.5</v>
      </c>
      <c r="I32" s="22">
        <v>3790</v>
      </c>
      <c r="J32" s="22">
        <f>670+420</f>
        <v>1090</v>
      </c>
      <c r="K32" s="22">
        <f>100+1780</f>
        <v>1880</v>
      </c>
      <c r="L32" s="22">
        <f>1195+5389+600+720+583</f>
        <v>8487</v>
      </c>
      <c r="M32" s="22">
        <v>902.5</v>
      </c>
      <c r="N32" s="24">
        <v>0.5</v>
      </c>
      <c r="O32" s="70">
        <v>6.3</v>
      </c>
    </row>
    <row r="33" spans="1:15" x14ac:dyDescent="0.25">
      <c r="A33" s="3" t="s">
        <v>9</v>
      </c>
      <c r="B33" s="12">
        <f>350+100+200+1460</f>
        <v>2110</v>
      </c>
      <c r="C33" s="12">
        <f>1940+520</f>
        <v>2460</v>
      </c>
      <c r="D33" s="12">
        <f>1075+1240+200+1300</f>
        <v>3815</v>
      </c>
      <c r="E33" s="12">
        <v>1650.5</v>
      </c>
      <c r="F33" s="12">
        <f>1128+1275+4650+660+120+520+2400</f>
        <v>10753</v>
      </c>
      <c r="G33" s="12">
        <v>6475.8</v>
      </c>
      <c r="H33" s="23">
        <v>16363.5</v>
      </c>
      <c r="I33" s="23">
        <v>20660</v>
      </c>
      <c r="J33" s="23">
        <f>562.3+1489+308.9+765+935+3641+1750+3290+3065+1433+2000+5000+910.3+635+1600+685</f>
        <v>28069.5</v>
      </c>
      <c r="K33" s="23">
        <f>1897+1281+105+665+860+4162+3975+1750+826+175+4400+1133</f>
        <v>21229</v>
      </c>
      <c r="L33" s="23">
        <f>870+1968+5151+2500+2420+2347</f>
        <v>15256</v>
      </c>
      <c r="M33" s="23">
        <v>9598</v>
      </c>
      <c r="N33" s="28">
        <v>5.8000000000000007</v>
      </c>
      <c r="O33" s="28">
        <f>26.7+11.4+55.4+0.5+0.9</f>
        <v>94.9</v>
      </c>
    </row>
    <row r="34" spans="1:15" x14ac:dyDescent="0.25">
      <c r="A34" s="4" t="s">
        <v>10</v>
      </c>
      <c r="B34" s="14">
        <f>180+10545.6+500</f>
        <v>11225.6</v>
      </c>
      <c r="C34" s="14">
        <f>357.2+16284.5</f>
        <v>16641.7</v>
      </c>
      <c r="D34" s="14">
        <f>19956.5+830+370+152.1</f>
        <v>21308.6</v>
      </c>
      <c r="E34" s="14">
        <v>33819.800000000003</v>
      </c>
      <c r="F34" s="14">
        <f>888+180+506+315+37130.7</f>
        <v>39019.699999999997</v>
      </c>
      <c r="G34" s="10">
        <v>32547.3</v>
      </c>
      <c r="H34" s="22">
        <v>35216.800000000003</v>
      </c>
      <c r="I34" s="22">
        <v>39120.400000000001</v>
      </c>
      <c r="J34" s="22">
        <f>13400+34950+13500+9000+150+28323.3</f>
        <v>99323.3</v>
      </c>
      <c r="K34" s="22">
        <f>4119+2506.6+27086.5+6280+1725+5460+6000+2960</f>
        <v>56137.1</v>
      </c>
      <c r="L34" s="22">
        <f>42840+5510+32831.5</f>
        <v>81181.5</v>
      </c>
      <c r="M34" s="22">
        <v>30929.5</v>
      </c>
      <c r="N34" s="24">
        <v>25.4</v>
      </c>
      <c r="O34" s="70">
        <f>0.8+3.5+1.5</f>
        <v>5.8</v>
      </c>
    </row>
    <row r="35" spans="1:15" x14ac:dyDescent="0.25">
      <c r="A35" s="3" t="s">
        <v>11</v>
      </c>
      <c r="B35" s="12">
        <v>10985.8</v>
      </c>
      <c r="C35" s="12">
        <v>7141.7</v>
      </c>
      <c r="D35" s="12">
        <f>10848.8+286.4</f>
        <v>11135.199999999999</v>
      </c>
      <c r="E35" s="12">
        <v>350.7</v>
      </c>
      <c r="F35" s="12">
        <f>447+1960</f>
        <v>2407</v>
      </c>
      <c r="G35" s="12">
        <v>4058.6</v>
      </c>
      <c r="H35" s="23">
        <v>15156.800000000001</v>
      </c>
      <c r="I35" s="23">
        <v>13837996.300000001</v>
      </c>
      <c r="J35" s="23">
        <f>2400.4+1117+31.5+12313+8000+7000+800+2280+8279092.5</f>
        <v>8313034.4000000004</v>
      </c>
      <c r="K35" s="23">
        <f>2078+1260+360+19025+2801+1560+500+110+600+3250+12000+1900+4147819.7</f>
        <v>4193263.7</v>
      </c>
      <c r="L35" s="23">
        <f>24178+1950+3000+10000+6766.7+5620.4</f>
        <v>51515.1</v>
      </c>
      <c r="M35" s="34">
        <v>28932684.800000001</v>
      </c>
      <c r="N35" s="28">
        <v>175597.7</v>
      </c>
      <c r="O35" s="72">
        <f>1.6+180364.5+10.6+20</f>
        <v>180396.7</v>
      </c>
    </row>
    <row r="36" spans="1:15" x14ac:dyDescent="0.25">
      <c r="A36" s="4" t="s">
        <v>12</v>
      </c>
      <c r="B36" s="14">
        <f>760+250+740+72+1610+470</f>
        <v>3902</v>
      </c>
      <c r="C36" s="14">
        <f>350+970+755</f>
        <v>2075</v>
      </c>
      <c r="D36" s="14">
        <f>600+1150</f>
        <v>1750</v>
      </c>
      <c r="E36" s="14">
        <v>3900</v>
      </c>
      <c r="F36" s="14">
        <f>1110+195+600+150+120+170+180+620</f>
        <v>3145</v>
      </c>
      <c r="G36" s="10">
        <v>6032.5</v>
      </c>
      <c r="H36" s="22">
        <v>2313.5</v>
      </c>
      <c r="I36" s="22">
        <v>6688.4</v>
      </c>
      <c r="J36" s="22">
        <f>1507.5+2385+445+715+900+340+165+290+350+5750</f>
        <v>12847.5</v>
      </c>
      <c r="K36" s="22">
        <f>250+9550+4800+4700+3100+15700</f>
        <v>38100</v>
      </c>
      <c r="L36" s="22">
        <f>4129+187+15960+1700+1037</f>
        <v>23013</v>
      </c>
      <c r="M36" s="22">
        <v>15056.5</v>
      </c>
      <c r="N36" s="24">
        <v>2.3000000000000003</v>
      </c>
      <c r="O36" s="70">
        <f>0.7+8.4+0.3</f>
        <v>9.4</v>
      </c>
    </row>
    <row r="37" spans="1:15" x14ac:dyDescent="0.25">
      <c r="A37" s="3" t="s">
        <v>13</v>
      </c>
      <c r="B37" s="12">
        <v>4778519.5</v>
      </c>
      <c r="C37" s="12">
        <v>8842164</v>
      </c>
      <c r="D37" s="12">
        <v>6290044.7999999998</v>
      </c>
      <c r="E37" s="12">
        <v>3072863.3</v>
      </c>
      <c r="F37" s="12">
        <v>2016287.8</v>
      </c>
      <c r="G37" s="12">
        <f>2016287.8+992800.7-387.9+688.9-1400+2000</f>
        <v>3009989.5</v>
      </c>
      <c r="H37" s="23">
        <v>3960145.3999999994</v>
      </c>
      <c r="I37" s="23">
        <v>4048760.5</v>
      </c>
      <c r="J37" s="23">
        <f>14979.3+8657.6+220+1710.9+6800+7340+2212+667+3703936.2+53935.1+30454.2+89876.7+27600+10558+63715.3+6556.9+2375+1153.6+44090.9+8263.5+112990.7</f>
        <v>4198092.9000000004</v>
      </c>
      <c r="K37" s="23">
        <f>9922.1+9516+4814+900+6660+9236+3600+1150+5040+237+45546.6+21227.4+2016.1+166240+23655.2+4362278.1+6499.9+7319.4+1138+55944.4+56383.2+12200+5317.7+3000+46833+527972.4+2000+454286.4+178262.9-452875.6+452876.4</f>
        <v>6029196.6000000034</v>
      </c>
      <c r="L37" s="12">
        <f>12205+4689725.9+110376+210602+17549+2700+88539.1+26277.1+2272+3780+6202+50790+28754.2+37480+7200+5550+190956+148000+9737.5+2720+554.5+79065.7+4714.5+1200+17070+11491.5+124347.3+3589+10829</f>
        <v>5904277.2999999998</v>
      </c>
      <c r="M37" s="34">
        <v>6961502.2000000002</v>
      </c>
      <c r="N37" s="28">
        <v>42289.5</v>
      </c>
      <c r="O37" s="72">
        <f>1.4+10260.6+2.3+61.1+19.7+8+116.1+14.6+36.9+0.9+1.1+0.7</f>
        <v>10523.400000000001</v>
      </c>
    </row>
    <row r="38" spans="1:15" x14ac:dyDescent="0.25">
      <c r="A38" s="5" t="s">
        <v>14</v>
      </c>
      <c r="B38" s="19">
        <f>59594+19784.2+2590+28905.8+14369.1+11388.2+3748.5</f>
        <v>140379.80000000002</v>
      </c>
      <c r="C38" s="19">
        <f>77329.73+34464+6969.4</f>
        <v>118763.12999999999</v>
      </c>
      <c r="D38" s="19">
        <f>59307.1+276.1+29093.1+8340+31434.7+62431.9+3391.5+20665.5+6871.2+21215.8</f>
        <v>243026.9</v>
      </c>
      <c r="E38" s="19">
        <v>154263.70000000001</v>
      </c>
      <c r="F38" s="19">
        <v>161417.1</v>
      </c>
      <c r="G38" s="20">
        <f>2675+12726.5+102565.6+30</f>
        <v>117997.1</v>
      </c>
      <c r="H38" s="20">
        <v>139187.29999999999</v>
      </c>
      <c r="I38" s="20">
        <v>222555.7</v>
      </c>
      <c r="J38" s="20">
        <f>6536.1+39720+44333+800+123197.8+1800+148811.5</f>
        <v>365198.4</v>
      </c>
      <c r="K38" s="20">
        <f>52850+29345+37629+20000+106000+360+700+517520.2+24208.4+80910.2+103089.4+140797.1+616747.5</f>
        <v>1730156.8</v>
      </c>
      <c r="L38" s="20">
        <f>2387250.7+8123+104790+123924.5+33126.3+26103.5+7790+26385+14500+50000+1628+296207.3</f>
        <v>3079828.3</v>
      </c>
      <c r="M38" s="35">
        <v>2959947</v>
      </c>
      <c r="N38" s="27">
        <v>3335.9</v>
      </c>
      <c r="O38" s="71">
        <f>4441+21.1+36.9+0.8+2.8+3.1+4.2+9.8+39.4+34.7+14.1</f>
        <v>4607.9000000000005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workbookViewId="0">
      <selection activeCell="C28" sqref="C28"/>
    </sheetView>
  </sheetViews>
  <sheetFormatPr defaultRowHeight="14.25" x14ac:dyDescent="0.2"/>
  <cols>
    <col min="1" max="1" width="51.140625" style="7" customWidth="1"/>
    <col min="2" max="3" width="11.7109375" style="8" customWidth="1"/>
    <col min="4" max="5" width="11.28515625" style="8" customWidth="1"/>
    <col min="6" max="6" width="10.7109375" style="8" customWidth="1"/>
    <col min="7" max="7" width="9.140625" style="8"/>
    <col min="8" max="8" width="11" style="8" customWidth="1"/>
    <col min="9" max="9" width="10.5703125" style="7" customWidth="1"/>
    <col min="10" max="16384" width="9.140625" style="7"/>
  </cols>
  <sheetData>
    <row r="2" spans="1:9" x14ac:dyDescent="0.2">
      <c r="A2" s="7" t="s">
        <v>17</v>
      </c>
    </row>
    <row r="4" spans="1:9" s="38" customFormat="1" x14ac:dyDescent="0.2">
      <c r="A4" s="36" t="s">
        <v>18</v>
      </c>
      <c r="B4" s="31">
        <v>2011</v>
      </c>
      <c r="C4" s="37">
        <v>2012</v>
      </c>
      <c r="D4" s="31">
        <v>2013</v>
      </c>
      <c r="E4" s="1">
        <v>2014</v>
      </c>
      <c r="F4" s="32">
        <v>2015</v>
      </c>
      <c r="G4" s="32">
        <v>2016</v>
      </c>
      <c r="H4" s="32">
        <v>2017</v>
      </c>
      <c r="I4" s="32">
        <v>2018</v>
      </c>
    </row>
    <row r="5" spans="1:9" x14ac:dyDescent="0.2">
      <c r="A5" s="39" t="s">
        <v>19</v>
      </c>
      <c r="B5" s="40">
        <f>+B6+B9+B17</f>
        <v>3353.3199999999997</v>
      </c>
      <c r="C5" s="40">
        <f t="shared" ref="C5:H5" si="0">+C6+C9+C17</f>
        <v>11665.053300000001</v>
      </c>
      <c r="D5" s="16">
        <f t="shared" si="0"/>
        <v>9843.24</v>
      </c>
      <c r="E5" s="40">
        <f t="shared" si="0"/>
        <v>11065.63</v>
      </c>
      <c r="F5" s="16">
        <f t="shared" si="0"/>
        <v>10504.400000000001</v>
      </c>
      <c r="G5" s="16">
        <f t="shared" si="0"/>
        <v>35998.5</v>
      </c>
      <c r="H5" s="16">
        <f>+H6+H9+H17</f>
        <v>162252.1</v>
      </c>
      <c r="I5" s="16">
        <f>+I6+I9+I17</f>
        <v>230744.09999999998</v>
      </c>
    </row>
    <row r="6" spans="1:9" ht="15" x14ac:dyDescent="0.25">
      <c r="A6" s="41" t="s">
        <v>20</v>
      </c>
      <c r="B6" s="42">
        <f t="shared" ref="B6:G6" si="1">+B7+B8</f>
        <v>122.39999999999999</v>
      </c>
      <c r="C6" s="42">
        <f t="shared" si="1"/>
        <v>8039.4000000000015</v>
      </c>
      <c r="D6" s="43">
        <f t="shared" si="1"/>
        <v>5122.8999999999996</v>
      </c>
      <c r="E6" s="42">
        <f t="shared" si="1"/>
        <v>3809.7000000000003</v>
      </c>
      <c r="F6" s="43">
        <f t="shared" si="1"/>
        <v>1740.4</v>
      </c>
      <c r="G6" s="43">
        <f t="shared" si="1"/>
        <v>14651.3</v>
      </c>
      <c r="H6" s="43">
        <f>+H7</f>
        <v>83263.600000000006</v>
      </c>
      <c r="I6" s="43">
        <f>+I7</f>
        <v>129134.1</v>
      </c>
    </row>
    <row r="7" spans="1:9" x14ac:dyDescent="0.2">
      <c r="A7" s="44" t="s">
        <v>21</v>
      </c>
      <c r="B7" s="45">
        <f>72+9.6+11.5</f>
        <v>93.1</v>
      </c>
      <c r="C7" s="45">
        <f>88.6+5096+28.6+2511.6+39+275.6</f>
        <v>8039.4000000000015</v>
      </c>
      <c r="D7" s="18">
        <f>91.8+4873.4+10.5+45.7+38.5+63</f>
        <v>5122.8999999999996</v>
      </c>
      <c r="E7" s="45">
        <f>2586.5+9.8+28+38.5+28</f>
        <v>2690.8</v>
      </c>
      <c r="F7" s="10">
        <f>1236.9+223.6</f>
        <v>1460.5</v>
      </c>
      <c r="G7" s="45">
        <v>14651.3</v>
      </c>
      <c r="H7" s="8">
        <v>83263.600000000006</v>
      </c>
      <c r="I7" s="7">
        <v>129134.1</v>
      </c>
    </row>
    <row r="8" spans="1:9" x14ac:dyDescent="0.2">
      <c r="A8" s="41" t="s">
        <v>22</v>
      </c>
      <c r="B8" s="46">
        <f>25.7+1.8+1.8</f>
        <v>29.3</v>
      </c>
      <c r="C8" s="47"/>
      <c r="D8" s="48"/>
      <c r="E8" s="46">
        <f>344+40+251.6+10.7+55+2.6+157.2+257.8</f>
        <v>1118.9000000000001</v>
      </c>
      <c r="F8" s="49">
        <f>120+159.9</f>
        <v>279.89999999999998</v>
      </c>
      <c r="G8" s="46"/>
      <c r="H8" s="50"/>
      <c r="I8" s="75"/>
    </row>
    <row r="9" spans="1:9" ht="15" x14ac:dyDescent="0.25">
      <c r="A9" s="44" t="s">
        <v>23</v>
      </c>
      <c r="B9" s="51">
        <f>+B10+B11+B12+B13+B14+B16</f>
        <v>595.11999999999989</v>
      </c>
      <c r="C9" s="51">
        <f t="shared" ref="C9:F9" si="2">+C10+C11+C12+C13+C14+C16</f>
        <v>747.31999999999994</v>
      </c>
      <c r="D9" s="52">
        <f t="shared" si="2"/>
        <v>695.7399999999999</v>
      </c>
      <c r="E9" s="51">
        <f t="shared" si="2"/>
        <v>1355.0299999999997</v>
      </c>
      <c r="F9" s="52">
        <f t="shared" si="2"/>
        <v>1420.1</v>
      </c>
      <c r="G9" s="52">
        <f>+G10+G11+G12+G13+G14+G16+G15</f>
        <v>12427.4</v>
      </c>
      <c r="H9" s="52">
        <f>+H10+H11+H12+H13+H14+H16+H15</f>
        <v>72238.900000000009</v>
      </c>
      <c r="I9" s="52">
        <f>+I10+I11+I12+I13+I14+I16+I15</f>
        <v>92298.199999999983</v>
      </c>
    </row>
    <row r="10" spans="1:9" x14ac:dyDescent="0.2">
      <c r="A10" s="41" t="s">
        <v>24</v>
      </c>
      <c r="B10" s="46">
        <v>283.42999999999995</v>
      </c>
      <c r="C10" s="46">
        <v>338.51</v>
      </c>
      <c r="D10" s="49">
        <v>394.04999999999995</v>
      </c>
      <c r="E10" s="53">
        <v>487.07999999999993</v>
      </c>
      <c r="F10" s="54">
        <v>778.09999999999991</v>
      </c>
      <c r="G10" s="46">
        <v>2057.6999999999998</v>
      </c>
      <c r="H10" s="46">
        <v>33273</v>
      </c>
      <c r="I10" s="75">
        <v>1200.8</v>
      </c>
    </row>
    <row r="11" spans="1:9" x14ac:dyDescent="0.2">
      <c r="A11" s="44" t="s">
        <v>25</v>
      </c>
      <c r="B11" s="8">
        <v>19.100000000000005</v>
      </c>
      <c r="C11" s="8">
        <v>26.470000000000006</v>
      </c>
      <c r="D11" s="55">
        <v>35.1</v>
      </c>
      <c r="E11" s="45">
        <f>21.1+6.2+2.5+6.1+3.2+2.8+2.9+6.2+3.4+5.1</f>
        <v>59.5</v>
      </c>
      <c r="F11" s="10">
        <v>67.8</v>
      </c>
      <c r="G11" s="10">
        <v>59.1</v>
      </c>
      <c r="H11" s="8">
        <v>31</v>
      </c>
      <c r="I11" s="73">
        <f>49.4+15.7</f>
        <v>65.099999999999994</v>
      </c>
    </row>
    <row r="12" spans="1:9" x14ac:dyDescent="0.2">
      <c r="A12" s="41" t="s">
        <v>26</v>
      </c>
      <c r="B12" s="50">
        <v>1</v>
      </c>
      <c r="C12" s="50">
        <v>0.47</v>
      </c>
      <c r="D12" s="54">
        <v>3.9</v>
      </c>
      <c r="E12" s="46">
        <f>0.58+0.4+0.1+10.4+1.5+0.9+1.1+2.2+2.3</f>
        <v>19.48</v>
      </c>
      <c r="F12" s="49">
        <v>12.9</v>
      </c>
      <c r="G12" s="49">
        <v>10.9</v>
      </c>
      <c r="H12" s="50">
        <v>9.4</v>
      </c>
      <c r="I12" s="76">
        <v>13.4</v>
      </c>
    </row>
    <row r="13" spans="1:9" x14ac:dyDescent="0.2">
      <c r="A13" s="44" t="s">
        <v>27</v>
      </c>
      <c r="B13" s="8">
        <v>19.79</v>
      </c>
      <c r="C13" s="8">
        <v>14.604999999999999</v>
      </c>
      <c r="D13" s="55">
        <v>38.900000000000006</v>
      </c>
      <c r="E13" s="45">
        <f>3.3+0.2+1.8+1.4+0.4+0.9+0.9+1.5+1.7+6.9</f>
        <v>19</v>
      </c>
      <c r="F13" s="10">
        <v>40</v>
      </c>
      <c r="G13" s="10">
        <v>40</v>
      </c>
      <c r="H13" s="8">
        <v>52</v>
      </c>
      <c r="I13" s="73">
        <f>70.3+24.8</f>
        <v>95.1</v>
      </c>
    </row>
    <row r="14" spans="1:9" x14ac:dyDescent="0.2">
      <c r="A14" s="41" t="s">
        <v>28</v>
      </c>
      <c r="B14" s="50"/>
      <c r="C14" s="50"/>
      <c r="D14" s="54"/>
      <c r="E14" s="50"/>
      <c r="F14" s="49"/>
      <c r="G14" s="49"/>
      <c r="H14" s="50"/>
      <c r="I14" s="77"/>
    </row>
    <row r="15" spans="1:9" x14ac:dyDescent="0.2">
      <c r="A15" s="44" t="s">
        <v>29</v>
      </c>
      <c r="B15" s="56">
        <f>1.3+0.09+0.7</f>
        <v>2.09</v>
      </c>
      <c r="C15" s="45">
        <f>0.78+0.02+0.02+0.05+0.2</f>
        <v>1.07</v>
      </c>
      <c r="D15" s="10">
        <f>0.2+3.5+4.2+0.2+0.2+0.4+0.1+0.4+0.2</f>
        <v>9.3999999999999986</v>
      </c>
      <c r="E15" s="45">
        <f>0.43+0.3+0.1+0.2+0.1+0.4+0.2</f>
        <v>1.7300000000000002</v>
      </c>
      <c r="F15" s="10">
        <v>4.9000000000000004</v>
      </c>
      <c r="G15" s="10">
        <v>2.1</v>
      </c>
      <c r="H15" s="8">
        <v>0.8</v>
      </c>
      <c r="I15" s="74">
        <v>0.4</v>
      </c>
    </row>
    <row r="16" spans="1:9" x14ac:dyDescent="0.2">
      <c r="A16" s="41" t="s">
        <v>30</v>
      </c>
      <c r="B16" s="46">
        <f>40.2-1.3+1.1+0.1+2.9+0.2+5.4+0.2+1.7+0.2+4.5+2.6+7.3+0.1+8.7+0.5+16.8+0.9+5.2+0.2+5.3+89+50.4+2.2+6.5+11.8+0.2-110+8.5+0.7+8.5+0.7+0.5+100</f>
        <v>271.79999999999995</v>
      </c>
      <c r="C16" s="46">
        <f>90.165+3.8+0.2+4.1+0.2+3.1-0.1+11.3+2+2.5+0.2+5.6+0.8+2+1+0.4+3.3+10.6+104+3.3+1.5+2.6+2.1+4.3+32.2+0.3+44.9+1.4+0.3+0.8+19.9+8.3+0.2</f>
        <v>367.26499999999993</v>
      </c>
      <c r="D16" s="49">
        <f>18.1+4.8+17.9+1+43.5+0.8+0.8+1+5.2+0.09+6.6+14.8+0.2-17.8+6.6+0.1+4.5+21.4+0.2+1.2+0.3+11+7.8+11.4+0.9-2+0.1+0.4+5.2+9.3+22.1+0.5+7.8+0.5+5.3+3.2+2.4+0.9-5.2+3.5+7.2+0.2</f>
        <v>223.79</v>
      </c>
      <c r="E16" s="46">
        <f>20.97+0.9+2.8+0.02+3.6+3+0.2+7.5+0.3+2.6+35.4+0.04+0.2+11.4+5.2+17.2+0.4+4.3+2.7+0.2+3.9+0.2+3.1+9.4+0.2+15+3.1+30.8+3.8+14.6+0.06+3.7+8.6+168+254-123.4+0.2+9.9+11.4+45.3+0.1+4.4+7.9+131.1+19.7+2.9+0.3+1.8+0.3+1.1+0.08+16.8+0.3+2.4</f>
        <v>769.9699999999998</v>
      </c>
      <c r="F16" s="49">
        <f>14.8+82.2+78.3+155.1+15.7+1.5+57.7+14.5+9.5+5.9+0.2+3.8+0.6+18.9+62.6</f>
        <v>521.29999999999995</v>
      </c>
      <c r="G16" s="49">
        <v>10257.6</v>
      </c>
      <c r="H16" s="50">
        <v>38872.699999999997</v>
      </c>
      <c r="I16" s="75">
        <v>90923.4</v>
      </c>
    </row>
    <row r="17" spans="1:9" ht="15" x14ac:dyDescent="0.25">
      <c r="A17" s="44" t="s">
        <v>31</v>
      </c>
      <c r="B17" s="57">
        <f>+B19+B20</f>
        <v>2635.7999999999997</v>
      </c>
      <c r="C17" s="57">
        <f t="shared" ref="C17:I17" si="3">+C19+C20</f>
        <v>2878.3333000000002</v>
      </c>
      <c r="D17" s="58">
        <f t="shared" si="3"/>
        <v>4024.6000000000004</v>
      </c>
      <c r="E17" s="57">
        <f t="shared" si="3"/>
        <v>5900.9</v>
      </c>
      <c r="F17" s="58">
        <f t="shared" si="3"/>
        <v>7343.9000000000005</v>
      </c>
      <c r="G17" s="52">
        <f t="shared" si="3"/>
        <v>8919.7999999999993</v>
      </c>
      <c r="H17" s="52">
        <f t="shared" si="3"/>
        <v>6749.6</v>
      </c>
      <c r="I17" s="52">
        <f t="shared" si="3"/>
        <v>9311.7999999999993</v>
      </c>
    </row>
    <row r="18" spans="1:9" x14ac:dyDescent="0.2">
      <c r="A18" s="41" t="s">
        <v>32</v>
      </c>
      <c r="B18" s="50"/>
      <c r="C18" s="50"/>
      <c r="D18" s="54"/>
      <c r="E18" s="50"/>
      <c r="F18" s="54"/>
      <c r="G18" s="59"/>
      <c r="H18" s="50"/>
      <c r="I18" s="75"/>
    </row>
    <row r="19" spans="1:9" x14ac:dyDescent="0.2">
      <c r="A19" s="44" t="s">
        <v>33</v>
      </c>
      <c r="B19" s="56">
        <f>1051.2+49.1+141.1-29.7+3.5+141.1+2.1+87.5+15.9+4.5+516.9</f>
        <v>1983.1999999999998</v>
      </c>
      <c r="C19" s="56">
        <f>1109+46.2+223.4+9.9+5.3+25.8+337.1+441.4+1.5+22.2</f>
        <v>2221.8000000000002</v>
      </c>
      <c r="D19" s="10">
        <f>1316.3+54+32.9+4.1+3.4+3.4+5.3+406.2+457.3+3+13.4+5+21.9+903.6</f>
        <v>3229.8</v>
      </c>
      <c r="E19" s="45">
        <f>1633.9+241.1+4.4+19.8+5.1+5+3.9+5.9+5.1+152.3+386.8+5.2+109.9+764.7+4.9+123.5+1160.3+6.2</f>
        <v>4638</v>
      </c>
      <c r="F19" s="10">
        <f>1196.9+4695.2+58.7</f>
        <v>5950.8</v>
      </c>
      <c r="G19" s="10">
        <v>7239.8</v>
      </c>
      <c r="H19" s="60">
        <v>4772.8</v>
      </c>
      <c r="I19" s="7">
        <v>6710.6</v>
      </c>
    </row>
    <row r="20" spans="1:9" x14ac:dyDescent="0.2">
      <c r="A20" s="61" t="s">
        <v>34</v>
      </c>
      <c r="B20" s="78">
        <f>396.4+139.3+1.2+40.4+15.9+40.4+15.9+2+1.1</f>
        <v>652.6</v>
      </c>
      <c r="C20" s="78">
        <f>394+113.1333+15.7+18.2+41.4+12.9+45.5+15.7</f>
        <v>656.53330000000005</v>
      </c>
      <c r="D20" s="79">
        <f>50.2+248.4+99.1+42.1+22.6+59.9+65.9+43.6+27.2+3.4+40.4+23.6+44.1+24.3</f>
        <v>794.80000000000007</v>
      </c>
      <c r="E20" s="79">
        <f>193.7+52.8+27.8+39.3+64.7+63+42.1+38.9+62.3+59.4+46.9+117.3+75.9+46.5+30.2+51.1+28.2+43.4+26.6+4.2+73.2+49.9+25.5</f>
        <v>1262.9000000000001</v>
      </c>
      <c r="F20" s="79">
        <f>482.4+286.3+353.2+271.2</f>
        <v>1393.1000000000001</v>
      </c>
      <c r="G20" s="79">
        <v>1680</v>
      </c>
      <c r="H20" s="62">
        <v>1976.8</v>
      </c>
      <c r="I20" s="80">
        <v>2601.1999999999998</v>
      </c>
    </row>
    <row r="21" spans="1:9" x14ac:dyDescent="0.2">
      <c r="B21" s="63"/>
    </row>
    <row r="22" spans="1:9" x14ac:dyDescent="0.2">
      <c r="B22" s="6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bvteegdehvvn vildwerlelt</vt:lpstr>
      <vt:lpstr>vildwerlelt salbaraar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Amarzaya</dc:creator>
  <cp:lastModifiedBy>Amarzaya</cp:lastModifiedBy>
  <dcterms:created xsi:type="dcterms:W3CDTF">2016-10-28T03:57:44Z</dcterms:created>
  <dcterms:modified xsi:type="dcterms:W3CDTF">2019-05-01T01:15:12Z</dcterms:modified>
</cp:coreProperties>
</file>